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85" windowWidth="14805" windowHeight="6930" activeTab="0"/>
  </bookViews>
  <sheets>
    <sheet name="титул" sheetId="1" r:id="rId1"/>
    <sheet name="ф 1" sheetId="2" r:id="rId2"/>
    <sheet name="ф2" sheetId="3" r:id="rId3"/>
    <sheet name="ф 4" sheetId="4" r:id="rId4"/>
    <sheet name="ф3" sheetId="5" r:id="rId5"/>
    <sheet name="ф5" sheetId="6" r:id="rId6"/>
    <sheet name="ф6" sheetId="7" r:id="rId7"/>
    <sheet name="ф7" sheetId="8" r:id="rId8"/>
  </sheets>
  <externalReferences>
    <externalReference r:id="rId11"/>
  </externalReferences>
  <definedNames>
    <definedName name="_xlnm.Print_Titles" localSheetId="1">'ф 1'!$6:$7</definedName>
  </definedNames>
  <calcPr fullCalcOnLoad="1"/>
</workbook>
</file>

<file path=xl/sharedStrings.xml><?xml version="1.0" encoding="utf-8"?>
<sst xmlns="http://schemas.openxmlformats.org/spreadsheetml/2006/main" count="1569" uniqueCount="523">
  <si>
    <t>Код аналитической программной классификации</t>
  </si>
  <si>
    <t>Наименование муниципальной программы, подпрограммы, основного мероприятия, мероприятия</t>
  </si>
  <si>
    <t>Ответственный исполнитель, соисполнители</t>
  </si>
  <si>
    <t>Код бюджетной классификации</t>
  </si>
  <si>
    <t>Расходы бюджета муниципального образования, тыс. рублей</t>
  </si>
  <si>
    <t>МП</t>
  </si>
  <si>
    <t>Пп</t>
  </si>
  <si>
    <t>ОМ</t>
  </si>
  <si>
    <t>М</t>
  </si>
  <si>
    <t>И</t>
  </si>
  <si>
    <t>ГРБС</t>
  </si>
  <si>
    <t>Рз</t>
  </si>
  <si>
    <t>Пр</t>
  </si>
  <si>
    <t>ЦС</t>
  </si>
  <si>
    <t>ВР</t>
  </si>
  <si>
    <t>"Содержание и развитие городского хозяйства" на 2015-2020 годы</t>
  </si>
  <si>
    <t>Всего</t>
  </si>
  <si>
    <t>Управление жилищно-коммунального хозяйства</t>
  </si>
  <si>
    <t>07</t>
  </si>
  <si>
    <t>1</t>
  </si>
  <si>
    <t>01</t>
  </si>
  <si>
    <t>04</t>
  </si>
  <si>
    <t>02</t>
  </si>
  <si>
    <t>2</t>
  </si>
  <si>
    <t>Содержание и развитие жилищного хозяйства</t>
  </si>
  <si>
    <t>06</t>
  </si>
  <si>
    <t>3</t>
  </si>
  <si>
    <t>Реализация мероприятий по строительству и приобретению жилья для переселения граждан из аварийного жилищного фонда</t>
  </si>
  <si>
    <t>935</t>
  </si>
  <si>
    <t>05</t>
  </si>
  <si>
    <t>244</t>
  </si>
  <si>
    <t>08</t>
  </si>
  <si>
    <t>Участие в разработке и реализации региональной программы капитального ремонта общего имущества в многоквартирных домах</t>
  </si>
  <si>
    <t>09</t>
  </si>
  <si>
    <t>Содержание и  ремонт муниципального жилищного фонда</t>
  </si>
  <si>
    <t>12</t>
  </si>
  <si>
    <t>Осуществление муниципального жилищного контроля</t>
  </si>
  <si>
    <t>121,244</t>
  </si>
  <si>
    <t>13</t>
  </si>
  <si>
    <t>Рассмотрение обращений и заявлений граждан, индивидуальных предпринимателей и юридических лиц по вопросам соблюдения требований жилищного законодательства</t>
  </si>
  <si>
    <t>19</t>
  </si>
  <si>
    <t>Создание и обработка базы данных по начислению и оплате платежей за пользование жилым помещением (муниципальное задание МАУ «ВИРЦ»)</t>
  </si>
  <si>
    <t>Содержание и развитие коммунальной инфраструктуры</t>
  </si>
  <si>
    <t>03</t>
  </si>
  <si>
    <t>4</t>
  </si>
  <si>
    <t>Благоустройство и охрана окружающей среды</t>
  </si>
  <si>
    <t>Организация сбора, вывоза бытовых отходов, содержание мест санкционированного сбора твердых бытовых отходов (контейнеры, свалки), содержание улиц частного сектора, ручная уборка тротуаров, остановок, лестниц и т.д.</t>
  </si>
  <si>
    <t>Организация благоустройства и санитарного содержания, озеленения парков, скверов, санкционированного сбора твердых бытовых отходов, содержание дорог</t>
  </si>
  <si>
    <t>Организация содержания и благоустройства мест погребения (кладбищ)</t>
  </si>
  <si>
    <t>Организация наружного освещения</t>
  </si>
  <si>
    <t>Содержание сетей наружного освещения</t>
  </si>
  <si>
    <t>  Проведение городских мероприятий по санитарной очистке и благоустройству территории города.</t>
  </si>
  <si>
    <t>5</t>
  </si>
  <si>
    <t>Развитие транспортной системы (организация транспортного обслуживания населения, развитие дорожного хозяйства)</t>
  </si>
  <si>
    <t>Проектирование, капитальный ремонт, ремонт автомобильных дорог общего пользования муниципального значения и иных транспортных инженерных сооружений</t>
  </si>
  <si>
    <t>Проведение мероприятий по обеспечению безопасности дорожного движения в соответствии с действующим законодательством Российской Федерации</t>
  </si>
  <si>
    <t>6</t>
  </si>
  <si>
    <t>Создание условий для реализации муниципальной программы</t>
  </si>
  <si>
    <t>Управление жилищно-коммунального хозяйства, Администрации города Воткинска</t>
  </si>
  <si>
    <t>кассовое исполнение на конец отчетного периода</t>
  </si>
  <si>
    <t>кассовые расходы, %</t>
  </si>
  <si>
    <t>к плану на отчетный год</t>
  </si>
  <si>
    <t>к плану на отчетный период</t>
  </si>
  <si>
    <t>Наименование муниципальной программы, подпрограммы</t>
  </si>
  <si>
    <t>Источник финансирования</t>
  </si>
  <si>
    <t>"Содержание и развитие городского хозяйства" 2015-2020 годы</t>
  </si>
  <si>
    <t>в том числе:</t>
  </si>
  <si>
    <t>Оценка расходов согласно МП</t>
  </si>
  <si>
    <t>Фактические расходы на отчетную дату</t>
  </si>
  <si>
    <t>отношение фактических расходов  к оценке расходов, %</t>
  </si>
  <si>
    <t>Оценка расходов, тыс.руб.</t>
  </si>
  <si>
    <t>"Создание условий для реализации муниципальной программы"</t>
  </si>
  <si>
    <t>Наименование подпрограммы, основного мероприятия, мероприятия</t>
  </si>
  <si>
    <t>Срок выполнения плановый</t>
  </si>
  <si>
    <t>Срок выполнения фактический</t>
  </si>
  <si>
    <t>Ожидаемый непосредственный результат</t>
  </si>
  <si>
    <t>Достигнутый результат</t>
  </si>
  <si>
    <t>Проблемы, возникшие в ходе реализации мероприятия</t>
  </si>
  <si>
    <t>Реализация мероприятий в сфере теплоснабжения</t>
  </si>
  <si>
    <t>Реализация мероприятий в сфере водоснабжения</t>
  </si>
  <si>
    <t>7</t>
  </si>
  <si>
    <t>8</t>
  </si>
  <si>
    <t>9</t>
  </si>
  <si>
    <t>Реализация мероприятий в сфере электроснабжения</t>
  </si>
  <si>
    <t>Реализация мероприятий в сфере газоснабжения</t>
  </si>
  <si>
    <t>Безопасная эксплуатация объектов газоснабжения. Обеспечение бесперебойной подачи газа.</t>
  </si>
  <si>
    <t>Организация подготовки городского хозяйства к осенне-зимнему периоду</t>
  </si>
  <si>
    <t>Обеспечение безаварийной работы городского хозяйства в осенне-зимний период</t>
  </si>
  <si>
    <t xml:space="preserve">Формирование заявок на строительство и реконструкцию объектов коммунальной инфраструктуры за счет бюджетных средств для включения в перечень объектов капитального строительства Удмуртской Республики </t>
  </si>
  <si>
    <t>Управление жилищно-коммунального хозяйства Управление капитального строительства</t>
  </si>
  <si>
    <t>Включение объектов коммунальной инфраструктуры в перечень объектов капитального строительства Удмуртской Республики</t>
  </si>
  <si>
    <t xml:space="preserve">Выполнение функций заказчика по проектированию и строительству объектов коммунальной инфраструктуры </t>
  </si>
  <si>
    <t xml:space="preserve">Проектирование и (или) строительство объектов коммунальной инфраструктуры </t>
  </si>
  <si>
    <t>Дорожное хозяйство и транспортное обслуживание населения</t>
  </si>
  <si>
    <t>Формирование сети маршрутов регулярных перевозок автомобильным транспортом общего пользования на территории города Воткинск</t>
  </si>
  <si>
    <t>Согласование расписания движения автобусов по маршруту регулярных перевозок</t>
  </si>
  <si>
    <t>Согласованные расписания движения автобусов по маршрутам регулярных перевозок</t>
  </si>
  <si>
    <t>Осуществление контроля за соблюдением требований, установленных правовыми актами, регулирующими вопросы организации пассажирских перевозок</t>
  </si>
  <si>
    <t>Соблюдение расписания отправления (прибытия) транспортных средств по маршруту регулярных перевозок;                                                                  Соблюдение установленного маршрута регулярных перевозок;                                                                               Наличие лицензии на осуществление перевозки пассажиров автомобильным транспортом</t>
  </si>
  <si>
    <t>Мероприятия  направлены на обеспечение безопасности дорожного движения</t>
  </si>
  <si>
    <t>Осуществление муниципального контроля за обустройством автомобильных дорог общего пользования местного значения дорожными элементами (дорожными знаками, дорожными ограждениями, светофорами, остановочными пунктами, стоянками (парковками) транспортных средств, иными элементами обустройства автомобильных дорог).</t>
  </si>
  <si>
    <t>Обследование дорожных условий, в том числе на маршрутах регулярных пассажирских перевозок</t>
  </si>
  <si>
    <t xml:space="preserve">Выдача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t>
  </si>
  <si>
    <t>Оказание муниципальной услуги по заявлениям физических и юридических лиц</t>
  </si>
  <si>
    <t>Принятие решений о временном ограничении или прекращении движения транспортных средств по автомобильным дорогам местного значения.</t>
  </si>
  <si>
    <t>Принятие решений о временном ограничении или прекращении движения транспортных средств по автомобильным дорогам местного значения</t>
  </si>
  <si>
    <t>Организация и осуществление мероприятий по паспортизации автомобильных дорог местного значения, подготовке и оформлению документов для государственной регистрации прав собственности на автомобильные дороги местного значения, объекты дорожного хозяйства в границах города.</t>
  </si>
  <si>
    <t>Паспортизации автомобильных дорог местного значения, государственная регистрация прав собственности на автомобильные дороги местного значения, объекты дорожного хозяйства в границах города</t>
  </si>
  <si>
    <t>15</t>
  </si>
  <si>
    <t>Разработка перспективных, текущих планов по строительству, реконструкции, капитальному ремонту, ремонту и содержанию автомобильных дорог местного значения, транспортных инженерных сооружений в границах города, по развитию перспективных схем развития автомобильных дорог местного значения и объектов дорожного хозяйства</t>
  </si>
  <si>
    <t>Планирование деятельности по строительству, реконструкции, капитальному ремонту, ремонту и содержанию автомобильных дорог местного значения, транспортных инженерных сооружений в границах города, по развитию перспективных схем развития автомобильных дорог местного значения и объектов дорожного хозяйства. Принятие правовых актов</t>
  </si>
  <si>
    <t>Улучшение эстетического облика города и санитарного состояния территорий</t>
  </si>
  <si>
    <t>Улучшение эстетического облика  и санитарного состояния территорий</t>
  </si>
  <si>
    <t>Организация наружного освещения улиц</t>
  </si>
  <si>
    <t>Реализация наказов избирателей, в соответствии с утвержденным на соответствующий год планом</t>
  </si>
  <si>
    <t>Выдача разрешений на вырубку и опиловку деревьев и кустарников на территории муниципального образования.</t>
  </si>
  <si>
    <t>Выдача ордеров (разрешений) на производство земляных работ</t>
  </si>
  <si>
    <t>Оказание муниципальной услуги «Выдача ордеров (разрешений) на производство земляных работ»</t>
  </si>
  <si>
    <t>Контроль за соблюдением требований муниципальных правовых актов, принятых органами местного самоуправления города Воткинска в сфере благоустройства</t>
  </si>
  <si>
    <t>Осуществление муниципального лесного контроля в отношении лесных участков, находящихся в муниципальной собственности.</t>
  </si>
  <si>
    <t>Осуществление муниципального лесного контроля в отношении лесных участков, находящихся в муниципальной собственности</t>
  </si>
  <si>
    <t>Информирование и просвещение населения в сфере экологического состояния территории города и благоустройства</t>
  </si>
  <si>
    <t>Коды аналитической программной классификации</t>
  </si>
  <si>
    <t>№ п/п</t>
  </si>
  <si>
    <t>Наименование целевого показателя (индикатора)</t>
  </si>
  <si>
    <t>Единица измерения</t>
  </si>
  <si>
    <t>Значения целевого показателя (индикатора)</t>
  </si>
  <si>
    <t>Обоснование отклонений значений целевого показателя (индикатора) на конец отчетного периода</t>
  </si>
  <si>
    <t>«Территориальное развитие (градостроительство)»</t>
  </si>
  <si>
    <t>Износ инженерных теплосетей (магистральные сети)</t>
  </si>
  <si>
    <t>процентов</t>
  </si>
  <si>
    <t>Количество технологических нарушений на системах теплоснабжения</t>
  </si>
  <si>
    <t>единиц</t>
  </si>
  <si>
    <t>Износ сетей электроснабжения</t>
  </si>
  <si>
    <t>Количество технологических нарушений на системах электроснабжения</t>
  </si>
  <si>
    <t>Износ сетей холодного водоснабжения</t>
  </si>
  <si>
    <t>Количество технологических нарушений на системах холодного водоснабжения</t>
  </si>
  <si>
    <t>Износ сетей горячего водоснабжения</t>
  </si>
  <si>
    <t>Количество технологических нарушений на системах горячего водоснабжения</t>
  </si>
  <si>
    <t>Количество технологических нарушений на канализационных сетях</t>
  </si>
  <si>
    <t>10</t>
  </si>
  <si>
    <t>Износ сетей водоотведения (канализации)</t>
  </si>
  <si>
    <t>11</t>
  </si>
  <si>
    <t>Износ газовых сетей</t>
  </si>
  <si>
    <t>Доля протяженности автомобильных дорог общего пользования местного значения с усовершенствованным дорожным покрытием, в общей протяженности автомобильных дорог общего пользования местного значения, процентов</t>
  </si>
  <si>
    <t>Ввод в эксплуатацию автомобильных дорог общего пользования местного значения</t>
  </si>
  <si>
    <t>км</t>
  </si>
  <si>
    <t>Капитальный ремонт и ремонт автомобильных дорог общего пользования местного значения</t>
  </si>
  <si>
    <t>Количество благоустроенных мест общего пользования, парков и скверов, единиц.</t>
  </si>
  <si>
    <t>км.</t>
  </si>
  <si>
    <t>шт.</t>
  </si>
  <si>
    <t>Количество участников конкурса «Мой красивый город».</t>
  </si>
  <si>
    <t>чел.</t>
  </si>
  <si>
    <t>Количество расселенных домов, признанных в установленном порядке аварийными</t>
  </si>
  <si>
    <t xml:space="preserve">единиц </t>
  </si>
  <si>
    <t>Площадь жилых помещений в домах, расселенных в связи с признанием их в установленном порядке ветхими и аварийными до 2012 года</t>
  </si>
  <si>
    <t>кв.м</t>
  </si>
  <si>
    <t>Реализация мер по переселению граждан из аварийного жилищного фонда (жилых помещений в многоквартирных домах, признанных в установленном порядке аварийными и подлежащими сносу или реконструкции в связи с физическим износом в процессе их эксплуатации)</t>
  </si>
  <si>
    <t>Формирование перечня многоквартирных домов, признанных аварийными и подлежащими сносу или реконструкции в связи с физическим износом в процессе эксплуатации</t>
  </si>
  <si>
    <t>Формирование заявок на включение в региональную адресную программу на переселение граждан из аварийного жилищного фонда многоквартирных домов, признанных в установленном порядке аварийными и подлежащими сносу или реконструкции в связи с физическим износом в процессе эксплуатации</t>
  </si>
  <si>
    <t>Строительство и приобретение жилья для переселения граждан из аварийного жилищного фонда</t>
  </si>
  <si>
    <t>Переселение граждан из аварийного жилищного фонда (оформление документов о государственной регистрации права собственности или заключение договоров социального найма)</t>
  </si>
  <si>
    <t>Форма №5</t>
  </si>
  <si>
    <t>Форма №3</t>
  </si>
  <si>
    <t>отсутствие финансирования</t>
  </si>
  <si>
    <t>выполнено</t>
  </si>
  <si>
    <t>УТВЕРЖДАЮ</t>
  </si>
  <si>
    <t xml:space="preserve">Обеспечение деятельности Управления (хозяйственное, материально-техническое) </t>
  </si>
  <si>
    <t xml:space="preserve">Ведение бюджетного учета </t>
  </si>
  <si>
    <t>Единые методологические принципы организации и ведения бюджетного учета устанавливаются Минфином России. Объектами бюджетного учета являются финансовые и нефинансовые активы публично-правовых образований, их обязательства и хозяйственные операции, изменяющие указанные активы и обязательства.</t>
  </si>
  <si>
    <t xml:space="preserve">Исполнение бюджетной сметы </t>
  </si>
  <si>
    <t>Бюджетная смета соответствует доведенным до Управления  лимитам бюджетных обязательств на принятие и (или) исполнение бюджетных обязательств по обеспечению выполнения функций Управления.</t>
  </si>
  <si>
    <t>Просроченная кредиторская задолженность по расчетам с поставщиками и подрядчиками (отношение общего объема просроченной кредиторской задолженности по расчетам с поставщиками и подрядчиками по состоянию на 1 января года, следующего за отчетным к кассовому исполнению расходов в отчетном финансовом году).</t>
  </si>
  <si>
    <t>0740162350</t>
  </si>
  <si>
    <t>0740262310</t>
  </si>
  <si>
    <t>0740362330</t>
  </si>
  <si>
    <t>0740462300</t>
  </si>
  <si>
    <t>0740562340</t>
  </si>
  <si>
    <t>Осуществление отдельных государственных полномочий УР по отлову и содержанию безнадзорных животных</t>
  </si>
  <si>
    <t>0760160030</t>
  </si>
  <si>
    <t>Переданные государственные полномочия в рамках реализации закона УР №50-РЗ от 01.10.2012 года.</t>
  </si>
  <si>
    <t>Относительное отклонение факта от плана</t>
  </si>
  <si>
    <t>Форма №4</t>
  </si>
  <si>
    <t>да</t>
  </si>
  <si>
    <t>Территориальное развитие (градостроительство)</t>
  </si>
  <si>
    <t>Администрация г. Воткинска</t>
  </si>
  <si>
    <r>
      <t xml:space="preserve"> </t>
    </r>
    <r>
      <rPr>
        <b/>
        <sz val="9"/>
        <color indexed="8"/>
        <rFont val="Times New Roman"/>
        <family val="1"/>
      </rPr>
      <t>«Территориальное развитие (градостроительство)»</t>
    </r>
  </si>
  <si>
    <t>Управление архитектуры и градостроительства</t>
  </si>
  <si>
    <t xml:space="preserve">Выдача разрешения на строительство объекта капитального строительства либо мотивированный отказ в выдаче разрешения  на строительство </t>
  </si>
  <si>
    <t>-</t>
  </si>
  <si>
    <t>Отсутствие финансирования</t>
  </si>
  <si>
    <t>Наличие в городском округе утвержденного генерального плана городского округа</t>
  </si>
  <si>
    <t>да/нет</t>
  </si>
  <si>
    <t>Доля площади территории города, на которую подготовлены проекты планировки, проекты межевания территории, в общей площади территории города</t>
  </si>
  <si>
    <t>%</t>
  </si>
  <si>
    <t>Общая площадь жилых помещений, приходящаяся в среднем на одного жителя, всего</t>
  </si>
  <si>
    <t>кв. м</t>
  </si>
  <si>
    <t>Площадь земельных участков, предоставленных для объектов жилищного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в течение 3 лет</t>
  </si>
  <si>
    <t>Площадь земельных участков, предоставленных для объектов капитального строительства (за исключением объектов жилищного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в течение 5 лет</t>
  </si>
  <si>
    <t>0740962320</t>
  </si>
  <si>
    <t>0741162360</t>
  </si>
  <si>
    <t>16</t>
  </si>
  <si>
    <t>414</t>
  </si>
  <si>
    <t>Управление капитального строительства</t>
  </si>
  <si>
    <t>Доля организации коммунального комплекса, осуществляющих производство товаров, оказание услуг по водо-, тепло-, газо- и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 процентов.</t>
  </si>
  <si>
    <t>Проведение торгов на право заключения договора на установку и эксплуатацию  рекламных конструкций на земельных участках, аходящихся в муниципальной собственности</t>
  </si>
  <si>
    <t>Оказание муниципальной услуги "Присвоение адреса объекту капитального строительства"</t>
  </si>
  <si>
    <t>Темп роста к уровню прошлого года, % (гр.8/гр.6*100)</t>
  </si>
  <si>
    <t>0740162370</t>
  </si>
  <si>
    <t>0740162390</t>
  </si>
  <si>
    <t>0740662800</t>
  </si>
  <si>
    <t>Оказание ритуальных услуг</t>
  </si>
  <si>
    <t>Техническое обслуживание  сетей газопровода находящиеся в муниципальной собственности</t>
  </si>
  <si>
    <t>Всего (1+2+3)</t>
  </si>
  <si>
    <t>1) бюджет муниципального образования</t>
  </si>
  <si>
    <t>собственные средства бюджета муниципального образования</t>
  </si>
  <si>
    <t>средства бюджета Российской федерации</t>
  </si>
  <si>
    <t>2) средства бюджетовдругих уровней бюджетной системы Российской Федерации, планируемые к привлечению</t>
  </si>
  <si>
    <t>3) иные источники</t>
  </si>
  <si>
    <t>Количество капитально отремонтированных многоквартирных домов</t>
  </si>
  <si>
    <t>Проведение собраний собственников помещений в многоквартирных домах для решения вопроса о способе управления домом</t>
  </si>
  <si>
    <t>Проведение общих собраний собственников помещений в многоквартирном доме в целях избрания Совета многоквартирного дома</t>
  </si>
  <si>
    <t>Представление интересов собственника муниципальных помещений на общих собраниях собственников помещений в многоквартирных домах</t>
  </si>
  <si>
    <t>Проведение конкурса по отбору управляющей организации для управления многоквартирным домом, в соответствии с постановлением Правительства Российской Федерации от 6 февраля 2006 г. №75 «О порядке проведения органами местного самоуправления открытого конкурса»</t>
  </si>
  <si>
    <t>Проведение конкурса по отбору управляющей организации для управления многоквартирным домом. Отбор управляющей организации для управления многоквартирным домом</t>
  </si>
  <si>
    <t>Заключения договора управления многоквартирным домом с управляющей организацией, выбранной по результатам конкурса</t>
  </si>
  <si>
    <t>Реализация мер по переселению граждан из аварийного жилищного фонда. Улучшение жилищных условий граждан.</t>
  </si>
  <si>
    <t>Формирование перечня многоквартирных домов, признанных в установленном порядке аварийными и подлежащими сносу или реконструкции в связи с физическим износом в процессе эксплуатации</t>
  </si>
  <si>
    <t>Формирование заявок на включение в региональную адресную программу на переселение граждан из аварийного жилищного фонда многоквартирных домов, признанных аварийными и подлежащими сносу или реконструкции</t>
  </si>
  <si>
    <t>Реализация мероприятий по переселению граждан из аварийного жилищного фонда (оформление документов о государственной регистрации права собственности или заключение договоров социального найма снос домов, составление актов обследования земельных участков после сноса домов)</t>
  </si>
  <si>
    <t>Принятие решения о формировании фонда капитального ремонта в отношении многоквартирного дома на счете регионального оператора в случае, если собственники помещений в многоквартирном доме в установленный срок не выбрали способ формирования фонда капитального ремонта или выбранный ими способ не был реализован</t>
  </si>
  <si>
    <t>Принятие решения о формировании фонда капитального ремонта в отношении многоквартирного дома на счете регионального оператора</t>
  </si>
  <si>
    <t>Организация проведения капитального ремонта общего имущества в многоквартирных домах в Удмуртской Республике</t>
  </si>
  <si>
    <t>Рассмотрение обращений и заявлений граждан, индивидуальных предпринимателей и юридических лиц по вопросам соблюдения требований жилищного законодательства, принятие мер реагирования</t>
  </si>
  <si>
    <t>14</t>
  </si>
  <si>
    <t>17</t>
  </si>
  <si>
    <t>Уменьшение количества ДТП с сопутствующими условиями. Уменьшение социальной напряженности населения города</t>
  </si>
  <si>
    <t xml:space="preserve">Протяженность сетей уличного освещения </t>
  </si>
  <si>
    <t>отсутствие финансирония, низкая активность населения</t>
  </si>
  <si>
    <t>Количество работающих светоточек на улично-дорожной сети в общем количестве установленных светоточек, процентов.</t>
  </si>
  <si>
    <t>Собрания не проводились</t>
  </si>
  <si>
    <t>Предоставление информации о порядке предоставлении жилищно-коммунальных услуг</t>
  </si>
  <si>
    <t>Регулярно размещается на сайте ГИС ЖКХ в разделе "Информация для граждан", а также на официальном сайте МО "Город Воткинск".</t>
  </si>
  <si>
    <t>18</t>
  </si>
  <si>
    <t>Обеспечение доходов бюджета от использования имущества, находящегося в муниципальной собственности</t>
  </si>
  <si>
    <t>"Содержание и развитие коммунальной инфраструктуры"</t>
  </si>
  <si>
    <t>Управление муниципального имущества и земельных ресурсов, Управление жилищно-коммунального хозяйства</t>
  </si>
  <si>
    <t>Управление жилищно-коммунального хозяйства, Управление муниципального имущества и земельных ресурсов</t>
  </si>
  <si>
    <t>Управление жилищно-коммунального хозяйства, Управление капитального строительства</t>
  </si>
  <si>
    <t>Реализация мероприятий в сфере водоотведения</t>
  </si>
  <si>
    <t>Управление муниципального имущества и земельных ресурсов, Управление жилищно-коммунального хозяйства, Управление капитального строительства</t>
  </si>
  <si>
    <t>Строительство и реконструкция объектов коммунальной инфраструктуры за счет бюджетных средств</t>
  </si>
  <si>
    <t>Развитие коммунальной инфраструктуры городского округа</t>
  </si>
  <si>
    <t xml:space="preserve">Доля многоквартирных домов, в которых собственники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указанными домами </t>
  </si>
  <si>
    <t>Показатель достигнут</t>
  </si>
  <si>
    <t>Форма №6</t>
  </si>
  <si>
    <t>Вид правового акта</t>
  </si>
  <si>
    <t>Дата принятия</t>
  </si>
  <si>
    <t>Номер</t>
  </si>
  <si>
    <t>Суть изменений (краткое изложение)</t>
  </si>
  <si>
    <t>Постановление Администрации города Воткинска</t>
  </si>
  <si>
    <t>Уточнение БА за счет средств РБ и МБ на на реализацию муниципальной программы</t>
  </si>
  <si>
    <t>30.01.19.</t>
  </si>
  <si>
    <t>А.А. Гредягин</t>
  </si>
  <si>
    <t>0740660180</t>
  </si>
  <si>
    <t>07406S8810</t>
  </si>
  <si>
    <t>2019 год</t>
  </si>
  <si>
    <t>Улучшение качества жизни населения</t>
  </si>
  <si>
    <t>Контроль за соблюдением требований муниципальных правовых актов, принятых органами местного самоуправления города в сфере благоустройства</t>
  </si>
  <si>
    <t>Охрана атмосферного воздуха                                                 Охрана водных ресурсов                                                                Охрана земельных ресурсов                   Информирование и просвещение населения в сфере экологического состояния территории города и благоустройства</t>
  </si>
  <si>
    <t>Установка, ремонт, капитальный ремонт остановочных пунктов в границах города на автомобильных дорогах местного значения</t>
  </si>
  <si>
    <t>Приведение остановочных пунктов в нормативное состояние, улучшение эстетического облика города</t>
  </si>
  <si>
    <t>на сегодняшний день целевой показатель не достигнут по причине недостаточного  финансироная.</t>
  </si>
  <si>
    <t>освещение улиц частного сектора по заявлениям граждан, уточнение данных по установленным светильникам (проведена инвентаризация)</t>
  </si>
  <si>
    <t>проводились мероприятия по ремонту дорожного покрытия, мероприятий по усовершенствованию дорожного мероприятия не проводилось</t>
  </si>
  <si>
    <t>В Министерство строительства, ЖКХ и энергетики УР направлена заявка на сумму 74 996,5 тыс. руб.</t>
  </si>
  <si>
    <t>29.04.19.</t>
  </si>
  <si>
    <t>05.06.19.</t>
  </si>
  <si>
    <t>072F367483</t>
  </si>
  <si>
    <t>072F367484</t>
  </si>
  <si>
    <t>072F36748S</t>
  </si>
  <si>
    <t>"__________" __________________     2020г.</t>
  </si>
  <si>
    <t>073G522430</t>
  </si>
  <si>
    <t>Выполнение мероприятий реестра наказов избирателей и реализация проектов инициативного бюджетирования</t>
  </si>
  <si>
    <t>0740608810</t>
  </si>
  <si>
    <t>Форма 1</t>
  </si>
  <si>
    <t>Наименование муниципальной программы: Содержание   и развитие городского хозяйства» на 2015-2021 годы</t>
  </si>
  <si>
    <t>Ответсвенный исполнитель: Управление жилищно-коммунального хозяйства Администрации города Воткинска</t>
  </si>
  <si>
    <t>Форма 2</t>
  </si>
  <si>
    <t>Сведения о внесенных  за отчетный период изменениях в муниципальную программу по состоянию на 01.01.2020</t>
  </si>
  <si>
    <t>Муниципальная программа, подпрограмма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</si>
  <si>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</si>
  <si>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</si>
  <si>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</si>
  <si>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</si>
  <si>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</si>
  <si>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</si>
  <si>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 xml:space="preserve">Эффективность использования средств бюджета муниципального района (городского округа) </t>
  </si>
  <si>
    <t>Э мп=гр.7*гр.10</t>
  </si>
  <si>
    <t>СПмп</t>
  </si>
  <si>
    <t>СМмп</t>
  </si>
  <si>
    <t>СРмп</t>
  </si>
  <si>
    <t>Эбс=гр.8/гр.9</t>
  </si>
  <si>
    <t>Содержание и развитие городского хозяйства на 2015-2020 годы</t>
  </si>
  <si>
    <t>Управление ЖКХ</t>
  </si>
  <si>
    <t>«Территориальное развитие (градостроительство»</t>
  </si>
  <si>
    <t xml:space="preserve">                                                                      </t>
  </si>
  <si>
    <t>Форма 7</t>
  </si>
  <si>
    <t xml:space="preserve"> Результаты оценки эффективности муниципальной  программы по состоянию на 01.01.2020</t>
  </si>
  <si>
    <t>Постановлением Правительства УР от 28 марта 2019 года №102 утверждена региональная адресная программа по переселению граждан из аварийного жилищного фонда в УР на 2019-2025 годы.  В программу включено 18 многоквартирных домов. В данных многоквартирных домах подлежит расселению 194 чел., проживающих в 123 жилых помещениях общей площадью 4132,87 кв.м.</t>
  </si>
  <si>
    <t>средства бюджета Российской Федерации</t>
  </si>
  <si>
    <t>средства бюджета  Удмуртской Республики</t>
  </si>
  <si>
    <t>2) средства бюджето других уровней бюджетной системы Российской Федерации, планируемые к привлечению</t>
  </si>
  <si>
    <t>27.09.19.</t>
  </si>
  <si>
    <t>17.12.19.</t>
  </si>
  <si>
    <t>Утверждение муниципальной программы на 2020-2024 годы</t>
  </si>
  <si>
    <t>Гредягин А.А.</t>
  </si>
  <si>
    <t>нет причин, нет специалистов которые будут ходить по домам и проводить собрания</t>
  </si>
  <si>
    <t>Уточнение БА за счет средств РБ и МБ на на реализацию муниципальной программы, корректировка целевых показателей</t>
  </si>
  <si>
    <t>если степень больше 1 все равно ставим 1</t>
  </si>
  <si>
    <t>по состоянию на 01.07.2020</t>
  </si>
  <si>
    <t xml:space="preserve"> Отчет об использовании бюджетных ассигнований бюджета муниципального образования"Город Воткинск" на реализацию муниципальной программы по состоянию на 01.07.2020</t>
  </si>
  <si>
    <t>Наименование муниципальной программы: Содержание   и развитие городского хозяйства» на 2020-2024 годы</t>
  </si>
  <si>
    <t>Сводная бюджетная роспись на 01.01.2020г.</t>
  </si>
  <si>
    <t>Сводная бюджетная роспись на 30.06.2020г.</t>
  </si>
  <si>
    <t>Внесение изменений в Правила землепользования и застройки муниципального образования "Город Воткинск"</t>
  </si>
  <si>
    <t>0710208320</t>
  </si>
  <si>
    <t>07102S8320</t>
  </si>
  <si>
    <t>Оказание муниципальной услуги "Выдача разрешений на установку и эксплуатацию рекламных конструкций на территории муниципального образования"</t>
  </si>
  <si>
    <t>0710662000</t>
  </si>
  <si>
    <t>Строительство и (или) рекострукция объектов транспортной инфраструктуры для реализации инвестиционных проектов</t>
  </si>
  <si>
    <t>0750104650</t>
  </si>
  <si>
    <t>0750108000</t>
  </si>
  <si>
    <t>07501S4650</t>
  </si>
  <si>
    <t>07501S8000</t>
  </si>
  <si>
    <t>07501S9510</t>
  </si>
  <si>
    <t xml:space="preserve">Содержание автомобильных дорог общего пользования, мостов и инных транспортных инженерных сооружений. </t>
  </si>
  <si>
    <t>0750262510</t>
  </si>
  <si>
    <t>0750604650</t>
  </si>
  <si>
    <t>0750662530</t>
  </si>
  <si>
    <t>07506S4650</t>
  </si>
  <si>
    <t>0750761900</t>
  </si>
  <si>
    <t>0751362540</t>
  </si>
  <si>
    <t>0750200000</t>
  </si>
  <si>
    <t>Ведуться работы по ремонту дорог, срок окончания работ 31.10.2020</t>
  </si>
  <si>
    <t>Новое строительствоне запланированно</t>
  </si>
  <si>
    <t>Мероприятия по санитарной обработке мест общего пользования многоквартирных домов расположенных на территории муниципального образования "Город Воткинск"</t>
  </si>
  <si>
    <t>0720162159</t>
  </si>
  <si>
    <t>811</t>
  </si>
  <si>
    <t>0720362110</t>
  </si>
  <si>
    <t>0720462120</t>
  </si>
  <si>
    <t>0720862130</t>
  </si>
  <si>
    <t>0721162140</t>
  </si>
  <si>
    <t>0720706200</t>
  </si>
  <si>
    <t>Реализация регионального проекта "Чистая вода"</t>
  </si>
  <si>
    <t>0730360140</t>
  </si>
  <si>
    <t>0730662230</t>
  </si>
  <si>
    <t>0730701440</t>
  </si>
  <si>
    <t>0730701441</t>
  </si>
  <si>
    <t>0730762260</t>
  </si>
  <si>
    <t>07307S1440</t>
  </si>
  <si>
    <t>07307S1441</t>
  </si>
  <si>
    <t>Строительство , реконструкция  и приобретение объектов коммунальной инфраструктуры за счет бюджетных средств</t>
  </si>
  <si>
    <t>0730800820</t>
  </si>
  <si>
    <t>07308S0820</t>
  </si>
  <si>
    <t>07308S8000</t>
  </si>
  <si>
    <t>0731060140</t>
  </si>
  <si>
    <t xml:space="preserve">Управление жилищно-коммунального хозяйства </t>
  </si>
  <si>
    <t>Строительство и (или) реконструкция объектов коммунальной инфраструктуры для реализации инвестиционных проектов</t>
  </si>
  <si>
    <t>0731208000</t>
  </si>
  <si>
    <t>07312S8000</t>
  </si>
  <si>
    <t>073G52243S</t>
  </si>
  <si>
    <t>073G55430</t>
  </si>
  <si>
    <t>в 2020 году муниципальное задание не предусмотрено</t>
  </si>
  <si>
    <t>Отчет о выполнении сводных показателей муниципальных заданий на оказание муниципальных услуг (выполнение работ) муниципальными учреждениями муниципального образования "Город Воткинск" по муниципальной программе по состоянию на 01.07.2020</t>
  </si>
  <si>
    <t>074016235Д</t>
  </si>
  <si>
    <t>0740262320</t>
  </si>
  <si>
    <t>0741405400</t>
  </si>
  <si>
    <t>0741562330</t>
  </si>
  <si>
    <t>Выдача справки о захоронении</t>
  </si>
  <si>
    <t>0741662710</t>
  </si>
  <si>
    <t>611</t>
  </si>
  <si>
    <t>0741762720</t>
  </si>
  <si>
    <t>Предоставление земельного участка для погребения умершего</t>
  </si>
  <si>
    <t>121,129,244</t>
  </si>
  <si>
    <t xml:space="preserve">  Отчет о расходах на реализацию  муниципальной программы за счет всех источников финансирования по состоянию на 01.07.2020</t>
  </si>
  <si>
    <t>средства  бюджета Удмуртской Республики</t>
  </si>
  <si>
    <t>Внесение изменений в Генеральный план городского округа "Город Воткинск"</t>
  </si>
  <si>
    <t>2020 год</t>
  </si>
  <si>
    <t>Формирование комфортной и безопасной для проживания городской среды, создание условий для развития жилищного строительства, инвестиционной привлекательности территорий города.</t>
  </si>
  <si>
    <t>Распоряжением Правительства УР от 08.10.2017 № 1367-р принято решение о подготовке проекта по внесению изменений в  Генеральный план и предложено Администрации муниципального образования "Город Воткинск" обеспечить подготовку проекта.  В настоящее время  проведены торги, определен победитель, проводится работа по подписанию контракта.</t>
  </si>
  <si>
    <t>Подготовка проекта изменений в Правила землепользования и застройки муниципального образования "Город Воткинск"</t>
  </si>
  <si>
    <t>Мероприятия по определению коорднат характерных точек границы территориальных зон, зон с особыми условиями использования территорий муиципального образования "Город Воткинск"</t>
  </si>
  <si>
    <t>Формирование комфортной и безопасной для проживания городской среды, создание условий для развития жилищного строительства, инвестиционной привлекательности территорий города</t>
  </si>
  <si>
    <t>Обеспечение органов государственной власти,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t>
  </si>
  <si>
    <t xml:space="preserve">Распоряжением Правительства Удмуртской Республики от 02.07.2020 г. № 806-р "О внесении изменений в Правила землепользования и застройки муниципального образования "Город Воткинск", утвержденные решением Воткинской городской Думы от 26 мая 2010 года № 590 "Об утверждении Правил землепользования и застройки муниципального образования "Город Воткинск" внесены изменения в текстовую часть документа. </t>
  </si>
  <si>
    <t>В Минстрой Удмуртской Республики направлено обращение (исх. от 03.04.2020 № 1482/01-16) для принятия решения о подготовке проекта внесения изменений в Правила землепользования и застройки муниципального образования "Город Воткинск", утвержденные решением Воткинской городской Думы от 26. мая 2010 г. № 590 (графическая часть).</t>
  </si>
  <si>
    <t>Подготовка документации по планировке территорий (проекта планировки, проекта межевания)</t>
  </si>
  <si>
    <t>Подготовка документации по планировке территории (проекта планировки, проекта межевания) района ул. Тихая</t>
  </si>
  <si>
    <t>Повышение качества документации территориального планирования, создание условий для инвестиционной привлекательности территорий города, успешной реализации инвестиционных проектов</t>
  </si>
  <si>
    <t>Создание и ведение информационной системы обеспечения градостроительной деятельности в муниципальном образовании "Город Воткинск"</t>
  </si>
  <si>
    <t xml:space="preserve">Создание информационной системы обеспечения градостроительной деятельности в муниципальном образовании "Город Воткинск" </t>
  </si>
  <si>
    <t xml:space="preserve">Предоставление сведений из информационной системы обеспечения градостроительной деятельности в муниципальном образовании "Город Воткинск" </t>
  </si>
  <si>
    <t>Обновление програмного продукта AutoMap</t>
  </si>
  <si>
    <t>В соответствии с распоряжением Правительства УР от 20.06.2019 № 717-р "О государственной информационной системе Удмуртской Республики "Государственная информационная система обеспечения градостроительной деятельности в Удмуртской Республике" органы местного самоуправления определены участниками ГИСОГД УР. В настоящее время проводится работа по подключению пользователей к Единой защищенной сети передачи данных государственных органов Удмуртской Республики  (ЕЗСПД УР).</t>
  </si>
  <si>
    <t>После ввода в действие ГИСОГД УР и наполнения системы информацией муниципального образования "Город Воткинск".</t>
  </si>
  <si>
    <t>Выдача разрешения на установку и эксплуатацию рекламных конструкций либо мотивированный отказ в выдаче разрешения</t>
  </si>
  <si>
    <t>5 услуг</t>
  </si>
  <si>
    <t xml:space="preserve">Выдача разрешения на установку и эксплуатацию рекламных конструкций </t>
  </si>
  <si>
    <t xml:space="preserve">Постановлением Администрации города Воткинска от 28.02.2020 № 230 принято решение о проведении открытого аукциона на право заключения договоров на установку и эксплуатацию рекламных конструкций на земельных участках, гсдарственная собственность на которые не разграничена по 6 лотам.  В целях обеспечения санитарно-эпидемиологического благополучия населения на территории Российской Федерации  постановлением Администрации города Воткинска от 01.04.2020 № 356 принято решение отменить указанный аукцион. </t>
  </si>
  <si>
    <t>Внесение изменений в Схему размещения рекламных конструкций на территории муниципального образования "Город Воткинск"</t>
  </si>
  <si>
    <t xml:space="preserve">Администрацией города Воткинска и индивидуальным предпринимателем Ураковым Александром Петровичем заключен униципальный контракт от 06.04.2020 № 0813500000120002741-01, предметом которого является оказание услуг: Внесение изменений в схему размещения рекламных конструкций на территории муниципального образования "Город Воткинск". В настоящее время  осуществляется работа по сдаче-приемке выполненных работ. </t>
  </si>
  <si>
    <t>Оказание муниципальной услуги «Предоставление разрешения на строительство»</t>
  </si>
  <si>
    <t>38</t>
  </si>
  <si>
    <t>Оказание муниципальной услуги «Предоставление разрешения на ввод объекта в эксплуатацию»</t>
  </si>
  <si>
    <t>Выдача  разрешения на ввод в эксплуатацию объектов капитального строительства либо мотивированный отказ в выдаче разрешения на ввод</t>
  </si>
  <si>
    <t>Оказание муниципальной услуги «Предоставление  градостроительного плана земельного участка»</t>
  </si>
  <si>
    <t>Выдача градостроительного плана земельного участка либо мотивированный отказ в предоставлении градостроительного плана</t>
  </si>
  <si>
    <t>34</t>
  </si>
  <si>
    <t>Оказание муниципальной услуги «Предоставление разрешения на условно разрешенный вид использования земельного участка»</t>
  </si>
  <si>
    <t>Предоставление разрешения на условно разрешенный вид использования земельного участка либо мотивированный отказ в предоставлении разрешения</t>
  </si>
  <si>
    <t>Оказание муниципальной услуги «Предоставление разрешения на отклонение от предельных параметров разрешенного строительства"</t>
  </si>
  <si>
    <t>Предоставление разрешения на отклонение от предельных параметров разрешенного строительства либо мотивированный отказ в педоставлении разрешения</t>
  </si>
  <si>
    <t>Оказание муниципальной услуги "Прием документов необходимых для согласования перепланировки и (или) переустройства жилого помещения, а также выдача соответствующих решений в согласовании или об отказе</t>
  </si>
  <si>
    <t>Согласование перепланировки и (или) переустройства жилого помещения либо мотивированный отказ в согласовании</t>
  </si>
  <si>
    <t>37</t>
  </si>
  <si>
    <t>Оказание муниципальной услуги "Прием документов необходимых для согласования перевода жилого помещения в нежилое или нежилого помещения в жилое, а также выдача соответствующих решений о переводе или об отказе в переводе"</t>
  </si>
  <si>
    <t>Согласование перевода жилого помещения в нежилое помещение или нежилого помещения в жилое либо мотивированный отказ в переводе</t>
  </si>
  <si>
    <t>0</t>
  </si>
  <si>
    <t>Присвоение адреса объекту капитального строительства либо мотивированный отказ в присвоении адреса</t>
  </si>
  <si>
    <t>39</t>
  </si>
  <si>
    <t>Оказание муниципальной услуги «Присвоение  адреса земельному участку (при отсутствии адреса - описание местоположения земельного участка)»</t>
  </si>
  <si>
    <t>Присвоение адреса  земельному участку (при отсутствии адреса - описание местоположения земельного участка)  либо мотивированный отказ в присвоении адреса</t>
  </si>
  <si>
    <t>факт на начало отчетного периода (за прошлый год  2019 год )</t>
  </si>
  <si>
    <t>план на конец отчетного (текущего) года  2020 год</t>
  </si>
  <si>
    <t>факт на конец отчетного периода  1 полугодие 2020</t>
  </si>
  <si>
    <t xml:space="preserve">Общая площадь жилых помещений, приходящаяся в среднем на одного жителя, введенная в действие за один год </t>
  </si>
  <si>
    <t xml:space="preserve">Объем ввода жилья в эксплуатацию, кв. м общей площади жилья </t>
  </si>
  <si>
    <t>Количество уведомлений о планируемых строительстве или реконструкции и об окончании строительства или реконструкции объектов индивидуального жилищного строительства или садовых домов на земельных участках, расположенных на территории городского округа</t>
  </si>
  <si>
    <t>кв.м.</t>
  </si>
  <si>
    <t>К концу года показатель достигнет планового значения</t>
  </si>
  <si>
    <t>С застройщиком ООО "Била Нова" расторгнуты договоры аренды земельных участков в   районе ул. Волгоградская, д. 19 (1 дом) площадью 1400 кв. м,  площадью 13570 кв. м в районе ул. Юбилейная (3 дома).  Договор аренды земельного участка площадью 39647 кв. м, предоставленный ООО "РСУ-Сервис" для строительства жилья в районе Южный, заключен до 30.05.2020. Договор аренды земельного участка, предоставленного ООО "Недвижимость" для строительства жилья, площадью 11142 кв. м в районе ул. Ленинградская заключен до 29.06.2020.  Договор аренды земельного участка площадью 6960 кв. м, предоставленного ООО "Новый дом" для строительства жилья в районе ул. Серова, заключен до 30.08.2020. Договор аренды земельного участка, предоставленного ООО "АКН-групп" для строительства жилья в районе ул. Тихая площадью 8400 кв. м, заключен до 28.03.2020. Вопросы по аренде земельных участков, срок действия которых истек, решаются в судебном порядке.  Договор аренды земельного участка, предоставленного ИП Шушкевичу А. В. для строительства жилья в районе ул. Пролетарская площадью 3928 кв. м, продлен до 14.08.2025.  .</t>
  </si>
  <si>
    <t xml:space="preserve">Введен в эксплуатацию магазин на земельном участке, расположенном: УР, г. Воткинск, ул. 1 Мая, дом 146 площадью 1232 кв. м  Срок действия договора аренды земельного участка, расположенного: УР, г. Воткинск, в районе ул. Лермонтова, д. 31  площадью 7010 кв. м, предоставленного для завершения строительства производственного здания, установлен с 01.06.2015 по 01.06.2018. Срок действия договора аренды земельного участка, расположенного: УР, г. Воткинск, северо-западнее ул. Гагарина, 200, площадью 983 кв. м, предоставленного для строительства здания, состоящего из складских помещений, установлен с 01.01.2015 по 31.12.2017. В течение сроков, установленных указанными договорами аренды, строительство объектов (производственное здание и складские помещения) не завершено. Вопросы по аренде земельных участков решаются в судебном порядке.       </t>
  </si>
  <si>
    <t>Доля протяженности автомобильных дорог общего пользования местного значения, не отвечающих нормативным требованиям, в общей прояженности  автомобильных дорог общего пользования местного значения, процентов</t>
  </si>
  <si>
    <t>Идут процедуры выбора подрядной организации для проведения капитального ремонта</t>
  </si>
  <si>
    <t>Заключены договоры изъятия жилого помещения, нет поступлений денежных средств  из бюджета УР и ФБ, в связи с этим жители не могут освободить жилые помещения</t>
  </si>
  <si>
    <t>Сравнение фактического значения показателя, рассчитанного по итогам 1 полугодия 2020 года с плановыми значениями на 2019, 2020 годы нецелесообразно. Анализ отклонений целевого показателя будет проведен по итогам года.</t>
  </si>
  <si>
    <t>Организация управления многоквартирными домами, находящимся на территории "Город Воткинск"</t>
  </si>
  <si>
    <t>По мере поступления обращений  от УК и старших по МКД , представитель УЖКХ представлял интересы собственника  по муниципальным квартирам  (2-3 обращения).</t>
  </si>
  <si>
    <t>В рамках постановления Правительства РФ от 6.02.2006г. № 75 в 1 полугодии 2020 году конкурс не проводился.</t>
  </si>
  <si>
    <t xml:space="preserve">Договоры управления не заключались в связи  с тем что конкурсы не проводились. </t>
  </si>
  <si>
    <t>На 01.07.2020 26 домов признаны аварийными и подлежащими сносу. Площадь 26 МКД 6255,07 кв.м, 192 жилых помещения, проживает примерно 300 человек.</t>
  </si>
  <si>
    <t xml:space="preserve">в соответствии с Региональной адресной программой по переселению граждан из аварийного жилищного фонда в Удмуртской Республике на 2019-2025 годы:
- произведены расходы на выкуп жилого помещения по этапу 2019 года на общую сумму 1,54 млн.руб. (средства Фонда содействия реформированию 1,48 млн.руб., средства бюджета УР -   45,7 тыс.руб.,  средства местного бюджета  -  15,4 тыс.руб.тыс.руб. )
- за отчетный период  2020 года заключено 36 договоров выкупа жилых помещений в аварийных домах  площадью 1236,20 кв.м.  Необходимо перечислить на счета граждан возмещение в размере 45,113 млн.руб. (средства Фонда содействия реформированию – 43,322 млн.руб., средства бюджета УР -1,340 млн.руб., средства местного бюджета  - 0,451 млн.руб.).
Всего в 2020 году планируется переселить 104 человека,  заключить 54 договора выкупа жилых помещений площадью 1829,47 кв.м.(в 17-ти аварийных домах).
</t>
  </si>
  <si>
    <t>Заключено 36 договор выкупа в рамках программы переселения</t>
  </si>
  <si>
    <t>Реализация мероприятий по капитальному ремонту жилищного фонда муниципального образования "Город Воткинск"</t>
  </si>
  <si>
    <t>Администрацией города Воткинска  принято 1 решение (МКД Крайняя ,41).</t>
  </si>
  <si>
    <t>Внесение изменений в региональную программу по капитальному ремонту. Из местного бюджета за 1 полугодие 2020 года оплачено взносов на капитальный ремонт  и обслуживание спец. счета за муниципальные жилые помещения в сумме 447,9 тыс. рублей.</t>
  </si>
  <si>
    <t>Оплата взносов за капитальный ремонт общего имущества МКД за муниципальный жилищный фонд</t>
  </si>
  <si>
    <t>Капитальный ремонт муниципального жилищного фонда (обеспечение платежей)</t>
  </si>
  <si>
    <t xml:space="preserve">Заключены договоры с УК , ресурсоснабжающими организациями и прочими организациями по содержанию муниципального жилищного фонда. В рамках полномочий по содержанию муниципальных жилых помещений проведен текущий ремонт квартиры по адресу ул.Королева, д.6, кв.17 на сумму 65,0 тыс.руб. для передачи по договору социального найма, планируется проведение капитального ремонта по адресу ул.Павлова, д.6, кв.14 на сумму 208,0 тыс.руб. (заключен договор подряда).  По решениям суда установлены счетчики на ХВС и ГВС по адресу 1 Мая, д.83, кв. 171 на сумму 4,96 тыс.руб., до 1 сентября планируется установка счетчиков еще в 3-х квартирах (ул. 1 Мая,2-48, 1 Мая,4-1, 1 Мая, 9-17) на общую сумму около 50,0 тыс.руб. </t>
  </si>
  <si>
    <t>2020год</t>
  </si>
  <si>
    <t>Всего обращений  111 шт., из них обращения граждан 89  шт.</t>
  </si>
  <si>
    <t>Реализация комплекса мер, направленных на подготовку жилищного хозяйства к отопительному периоду</t>
  </si>
  <si>
    <t>Реализация мер, предусмотренных планом мероприятий по подготовке городского хозяйства к осенне-зимнему периоду</t>
  </si>
  <si>
    <t>Оказание услуг по начислению, перерасчету платы за наем, ведение и сопровождение базы данных муниципального жилищного фонда</t>
  </si>
  <si>
    <t xml:space="preserve">Ведение базы по лицевым счетам муниципального жилищного фонда -797л/с. 
плате за наем,  заключено 3 договора рассрочки на сумму 13,8тыс.руб., Правовым управлением подано 59 заявлений на выдачу судебных приказов на сумму 287 тыс.руб., вынесено 44 судебных приказа на сумму 245,4 тыс.руб., возбуждено исполнительное производство по 43 судебным приказам на сумму 352,13 тыс.руб., оплачено по исполнительным листам – 483,0тыс.руб. (с учетом истребования по приказам 2019 года).
 Общая сумма доходов за 1 полугодие 2020 года от платы за наем составила  2,25 млн.руб.
</t>
  </si>
  <si>
    <t>Отчет о реализации муниципальной программы   "Содержание   и развитие городского хозяйства» на 2020-2024 годы"</t>
  </si>
  <si>
    <t>Наименование муниципальной программы:  Содержание   и развитие городского хозяйства  на 2020-2024 годы</t>
  </si>
  <si>
    <t>Проведение аварийно-восстановительных работ на сетях, находящихся в муниципальной собственности</t>
  </si>
  <si>
    <t>Ликвидация аварий на инженерных коммуникациях находящихся в муниципальной собственности, но не переданных на обслуживание ресурсоснабжающим организациям</t>
  </si>
  <si>
    <t>Аварийно-восстановительные работы не проводились, в связи с отсутствием аварий на  сетях теплоснабжения.</t>
  </si>
  <si>
    <t>Аварийно-восстановительные работы не проводились, в связи с отсутствием аварий на  сетях водоснабжения.</t>
  </si>
  <si>
    <t>Повышение доли населения, обеспеченного качественной питьевой водой. Строительство и реконструкция (модернизация) объектов питьевого водоснабжения</t>
  </si>
  <si>
    <t xml:space="preserve">1 полугодии 2020 года работы выполнены работы по благоустройству территории, прилегающей к  повысительной насосной станции в районе ул.1905 года. Ведется прием работ, стоимость реализации проекта оставляет 825,08 тыс.руб., в том числе за счет  бюджета УР  825,0 тыс.руб.,  местного бюджета  0,08 тыс. руб.  </t>
  </si>
  <si>
    <t>Аварийно-восстановительные работы не проводились, в связи с отсутствием аварий на сетях водоотведения</t>
  </si>
  <si>
    <t>Аварийно-восстановительные работы не проводились, в связи с отсутствием аварий на  сетях электроснабжения.</t>
  </si>
  <si>
    <t>Капитальный ремонт газопроводов и редуцирующих устройств находящихся в муниципальной собственности</t>
  </si>
  <si>
    <t xml:space="preserve">АО "Филиал Газпром газораспределение  Ижевск в г. Воткинске" запланирован капитальный ремонт 18  газовых редуцирующих пунктов , диагностирование сетей газоснабжения 8195метров, диагностирование ПРГ 13 ед. </t>
  </si>
  <si>
    <t>Аварийно-восстановительные работы не проводились, в связи с отсутствием аварий на  сетях газоснабжения.</t>
  </si>
  <si>
    <t xml:space="preserve">В рамках соглашения о предоставлении субсидий на реализацию мероприятий в области поддержки и развития коммунального хозяйства в УР, направленных на повышение надежности, устойчивости и экономичности жилищно-коммунального хозяйства (подготовка к зиме), произведено расходов на общую сумму 5,94 млн.руб., в том числе из бюджета Удмуртской Республики 5,930 млн.руб., из местного бюджета 10,0 тыс.руб. Запланирован капитальный ремонт участков водопровода по ул. 1 Мая. Для реализации мероприятий проведена экспертиза достоверности определения сметной стоимости, расходы составили 33,0 тыс.руб. за счет средств местного бюджета.
В рамках подготовки инженерных сетей к эксплуатации в осенне-зимний период 2020-2021 гг. за счет собственных средств предприятиями города произведена замена  0,9 км тепловых сетей,  6,1 км электрических сетей, 0,6 км водопроводных сетей и  0,2 км канализационных сетей.
</t>
  </si>
  <si>
    <t>Проводится процедура торгов по реализации мероприятия Адресной инвестиционной программы УР: приобретение блочно-модульной котельной в районе ул.Кирпичнозаводская, стоимость работ составит 16,5 млн.руб., в том числе за счет бюджета УР 16,5 млн. руб., софинансирование из местного бюджета 1,61 тыс.руб.</t>
  </si>
  <si>
    <t>Управление жилищно-коммунального хозяйства, Управление Архитектуры и градостроительства, Управление капитального строительства</t>
  </si>
  <si>
    <t xml:space="preserve">В 2020 году планируется к реализация заявка в НО «Фонд развития моногородов» по объекту «Строительство  водопроводных и канализационных сетей к оздоровительному комплексу в районе ул. Луначарского в г. Воткинске»,  будет построено 2,9 км сетей водоснабжения, 1 повысительная насосная станция мощностью 85,4 куб.м/час и канализационная сеть протяженностью 303 м. Стоимость строительства оставляет 34,628 млн.руб. Заявка в стадии рассмотрения. Для участия в проекте в бюджете предусмотрено 6,8 млн.руб.  - средства УР и 2,0 млн. руб. – средства местного бюджета. </t>
  </si>
  <si>
    <t>Организация сбора, вывоза бытовых отходов, содержание мест санкционированного сбора твердых бытовых отходов (контейнеры, туалет, свалки)</t>
  </si>
  <si>
    <t>Отлов и содержание бесхозяйных животных</t>
  </si>
  <si>
    <t>Увеличение количества урн, контейнеров… Улучшение эстетического облика города и санитарного состояния территорий</t>
  </si>
  <si>
    <t>в реестр включено 48 контейнерных площадок, в рамках контрактов проводятся мероприятия по уборке территриии от мусора и несанкционированных свалок</t>
  </si>
  <si>
    <t>проводится конкурсная процедура по заключению договора на отлов</t>
  </si>
  <si>
    <t xml:space="preserve"> в рамках контрактов проводятся мероприятия по уборке территриии от мусора и несанкционированных свалок</t>
  </si>
  <si>
    <t>заключен контракт и в рамках контракта проводится уборка мест</t>
  </si>
  <si>
    <t>Приведение освещенности улиц к требованиям ГОСТ          Обеспечение надежности существующего наружного освещения</t>
  </si>
  <si>
    <t>в рамках контракта по ТО провится обслуживание и содержание сетей</t>
  </si>
  <si>
    <t>проводились конкурсные процедуры по определению подрядчика на замену сетей</t>
  </si>
  <si>
    <t>отсыпка щебнем ул. Чайкиной (50 тыс.) - 80 кв. м.</t>
  </si>
  <si>
    <t>проведено 86 обледований зеленных насаждений, подготовлено 73 порубочных билета и 25 соглашений по компенсационному озеленению</t>
  </si>
  <si>
    <t>Мероприятия по охране окружающей среды</t>
  </si>
  <si>
    <t>Информирование и просвещение населения в сфере экологического состояния и благоустройства территории  города</t>
  </si>
  <si>
    <t>согласовано 99 ордеров</t>
  </si>
  <si>
    <t>в связи с ковидом мероприятия по очистке проводились силами МУП ВГЭС и УК</t>
  </si>
  <si>
    <t>административной комиссией в 1 полугодие 2020 рассмотрено административной комиссией 48 фактов нарушения правил благоустройства территории муниципального образования «Город Воткинск», по результатам рассмотрения вынесено 35 постановлений административной комиссии о нарушении правил благоустройства территории муниципального образования «Город Воткинск» и 13 определений административной комиссии о нарушении правил благоустройства территории муниципального образования «Город Воткинск»</t>
  </si>
  <si>
    <t>Подготовлен план тушения лесов, заключены 4 соглашения по взаимодействию</t>
  </si>
  <si>
    <t>заключен контракт на тушение возгораний мусора и травы, заключен договор на содержание пляжа</t>
  </si>
  <si>
    <t>проводятся конкурсные процедуры, определяется участок для размещения приюта</t>
  </si>
  <si>
    <t>проводится выдача разрешений на захоронении</t>
  </si>
  <si>
    <t xml:space="preserve"> Управление жилищно-коммунального хозяйства, Управление капитального строительства</t>
  </si>
  <si>
    <t>Приведение  дорог общего пользования в нормативное состояние</t>
  </si>
  <si>
    <t>вывод транзитного транспорта из города Воткинска, что позволит улучшить экологическую обстановку в городе и  снизить транспортный поток по городским дорогам, что в конечном итоге приведет к сохранению их дорожного покрытия, вывоз с  промышленных предприятий крупногабаритной и тяжелой продукции минуя жилую зону города и будет способствовать открытию новых и расширению действующих производств.</t>
  </si>
  <si>
    <t>конкурсные процедуры на ПИР ул. Лермонтова и ул. Халтурина</t>
  </si>
  <si>
    <t>Нанесение дорожной разметки в рамках контракта</t>
  </si>
  <si>
    <t>проводятся периодические рейды составлено 5 актов обследования пасажиропатока</t>
  </si>
  <si>
    <t>в связи с короновирусом проводились мерприятия по ограничению движения по расписанию</t>
  </si>
  <si>
    <t>проводятся периодические рейды по соблюдению расписаний движения составляются акты</t>
  </si>
  <si>
    <t>проведение конкурсных процедур</t>
  </si>
  <si>
    <t>опиловка знаков, треугольков видимости</t>
  </si>
  <si>
    <t>рейодовае обследование дорог и размещения дорожных знаков</t>
  </si>
  <si>
    <t>в рамках короновируса проводились мероприятия по перекрытию въезда в город</t>
  </si>
  <si>
    <t>направлена заявка на ремонт на 2021 год на ремонт 29,5 км на 379 млн.</t>
  </si>
  <si>
    <t>не проводились</t>
  </si>
  <si>
    <t xml:space="preserve"> Отчет о выполнении основных мероприятий муниципальной программы  по состоянию на 01.07.2020</t>
  </si>
  <si>
    <t>Наименование муниципальной программы: Содержание   и развитие городского хозяйства  на 2020-2024 годы</t>
  </si>
  <si>
    <t>Наименование муниципальной программы: Содержание   и развитие городского хозяйства на 2020-2024 годы</t>
  </si>
  <si>
    <t>Отчет о достигнутых значениях целевых показателей (индикаторов) муниципальной программы по состоянию на 01.07.2020</t>
  </si>
  <si>
    <t>Зам. главы  Администрации города Воткинска по архитектуре, строительству, жилищно-коммунального хозяйства и транспорту</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</si>
</sst>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0_ ;\-#,##0\ "/>
    <numFmt numFmtId="174" formatCode="#,##0.00_р_."/>
  </numFmts>
  <fonts count="83">
    <font>
      <sz val="11"/>
      <color theme="1"/>
      <name val="Calibri"/>
      <family val="2"/>
    </font>
    <font>
      <sz val="11"/>
      <color indexed="8"/>
      <name val="Calibri"/>
      <family val="2"/>
    </font>
    <font>
      <sz val="10"/>
      <name val="Times New Roman"/>
      <family val="1"/>
    </font>
    <font>
      <sz val="10"/>
      <color indexed="8"/>
      <name val="Times New Roman"/>
      <family val="1"/>
    </font>
    <font>
      <b/>
      <sz val="10"/>
      <name val="Times New Roman"/>
      <family val="1"/>
    </font>
    <font>
      <sz val="8.5"/>
      <color indexed="8"/>
      <name val="Times New Roman"/>
      <family val="1"/>
    </font>
    <font>
      <b/>
      <sz val="8.5"/>
      <color indexed="8"/>
      <name val="Times New Roman"/>
      <family val="1"/>
    </font>
    <font>
      <b/>
      <sz val="8.5"/>
      <name val="Times New Roman"/>
      <family val="1"/>
    </font>
    <font>
      <sz val="8.5"/>
      <name val="Times New Roman"/>
      <family val="1"/>
    </font>
    <font>
      <sz val="8"/>
      <color indexed="8"/>
      <name val="Times New Roman"/>
      <family val="1"/>
    </font>
    <font>
      <sz val="8"/>
      <name val="Times New Roman"/>
      <family val="1"/>
    </font>
    <font>
      <sz val="8.5"/>
      <color indexed="63"/>
      <name val="Times New Roman"/>
      <family val="1"/>
    </font>
    <font>
      <sz val="8"/>
      <color indexed="63"/>
      <name val="Times New Roman"/>
      <family val="1"/>
    </font>
    <font>
      <b/>
      <sz val="8"/>
      <name val="Times New Roman"/>
      <family val="1"/>
    </font>
    <font>
      <sz val="11"/>
      <color indexed="9"/>
      <name val="Calibri"/>
      <family val="2"/>
    </font>
    <font>
      <sz val="9"/>
      <color indexed="8"/>
      <name val="Times New Roman"/>
      <family val="1"/>
    </font>
    <font>
      <sz val="11"/>
      <name val="Calibri"/>
      <family val="2"/>
    </font>
    <font>
      <sz val="7"/>
      <color indexed="8"/>
      <name val="Times New Roman"/>
      <family val="1"/>
    </font>
    <font>
      <b/>
      <sz val="9"/>
      <color indexed="8"/>
      <name val="Times New Roman"/>
      <family val="1"/>
    </font>
    <font>
      <b/>
      <sz val="12"/>
      <name val="Times New Roman"/>
      <family val="1"/>
    </font>
    <font>
      <sz val="12"/>
      <name val="Times New Roman"/>
      <family val="1"/>
    </font>
    <font>
      <b/>
      <sz val="10"/>
      <color indexed="8"/>
      <name val="Times New Roman"/>
      <family val="1"/>
    </font>
    <font>
      <sz val="9"/>
      <name val="Times New Roman"/>
      <family val="1"/>
    </font>
    <font>
      <b/>
      <sz val="12"/>
      <color indexed="8"/>
      <name val="Times New Roman"/>
      <family val="1"/>
    </font>
    <font>
      <b/>
      <u val="single"/>
      <sz val="12"/>
      <name val="Times New Roman"/>
      <family val="1"/>
    </font>
    <font>
      <b/>
      <sz val="11"/>
      <name val="Times New Roman"/>
      <family val="1"/>
    </font>
    <font>
      <sz val="8"/>
      <name val="Calibri"/>
      <family val="2"/>
    </font>
    <font>
      <sz val="10"/>
      <color indexed="8"/>
      <name val="Calibri"/>
      <family val="2"/>
    </font>
    <font>
      <b/>
      <sz val="8"/>
      <color indexed="8"/>
      <name val="Times New Roman"/>
      <family val="1"/>
    </font>
    <font>
      <sz val="12"/>
      <color indexed="8"/>
      <name val="Calibri"/>
      <family val="2"/>
    </font>
    <font>
      <b/>
      <sz val="12"/>
      <name val="Calibri"/>
      <family val="2"/>
    </font>
    <font>
      <b/>
      <sz val="11"/>
      <color indexed="8"/>
      <name val="Calibri"/>
      <family val="2"/>
    </font>
    <font>
      <sz val="12"/>
      <color indexed="8"/>
      <name val="Times New Roman"/>
      <family val="1"/>
    </font>
    <font>
      <sz val="14"/>
      <color indexed="8"/>
      <name val="Times New Roman"/>
      <family val="1"/>
    </font>
    <font>
      <sz val="14"/>
      <color indexed="8"/>
      <name val="Calibri"/>
      <family val="2"/>
    </font>
    <font>
      <sz val="8.5"/>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Calibri"/>
      <family val="2"/>
    </font>
    <font>
      <sz val="8.5"/>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1"/>
      <color theme="1"/>
      <name val="Times New Roman"/>
      <family val="1"/>
    </font>
    <font>
      <sz val="8"/>
      <color theme="1"/>
      <name val="Times New Roman"/>
      <family val="1"/>
    </font>
    <font>
      <sz val="8"/>
      <color theme="1"/>
      <name val="Calibri"/>
      <family val="2"/>
    </font>
    <font>
      <sz val="8"/>
      <color rgb="FF000000"/>
      <name val="Times New Roman"/>
      <family val="1"/>
    </font>
    <font>
      <b/>
      <sz val="8"/>
      <color theme="1"/>
      <name val="Times New Roman"/>
      <family val="1"/>
    </font>
    <font>
      <sz val="8.5"/>
      <color theme="1"/>
      <name val="Times New Roman"/>
      <family val="1"/>
    </font>
    <font>
      <sz val="10"/>
      <color theme="1"/>
      <name val="Times New Roman"/>
      <family val="1"/>
    </font>
    <font>
      <sz val="12"/>
      <color theme="1"/>
      <name val="Calibri"/>
      <family val="2"/>
    </font>
    <font>
      <sz val="8.5"/>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2" fillId="32" borderId="0" applyNumberFormat="0" applyBorder="0" applyAlignment="0" applyProtection="0"/>
  </cellStyleXfs>
  <cellXfs count="471">
    <xf numFmtId="0" fontId="0" fillId="0" borderId="0" xfId="0" applyFont="1" applyAlignment="1">
      <alignment/>
    </xf>
    <xf numFmtId="49" fontId="2" fillId="0" borderId="0" xfId="0" applyNumberFormat="1" applyFont="1" applyFill="1" applyAlignment="1">
      <alignment/>
    </xf>
    <xf numFmtId="0" fontId="2" fillId="0" borderId="0" xfId="0" applyFont="1" applyFill="1" applyAlignment="1">
      <alignment/>
    </xf>
    <xf numFmtId="0" fontId="4" fillId="0" borderId="0" xfId="0" applyFont="1" applyFill="1" applyAlignment="1">
      <alignment horizontal="center"/>
    </xf>
    <xf numFmtId="0" fontId="3" fillId="0" borderId="0" xfId="0" applyFont="1" applyAlignment="1">
      <alignment/>
    </xf>
    <xf numFmtId="0" fontId="5" fillId="0" borderId="10" xfId="0" applyFont="1" applyFill="1" applyBorder="1" applyAlignment="1">
      <alignment horizontal="center" vertical="center" wrapText="1"/>
    </xf>
    <xf numFmtId="49" fontId="0" fillId="0" borderId="0" xfId="0" applyNumberFormat="1" applyAlignment="1">
      <alignment/>
    </xf>
    <xf numFmtId="0" fontId="0" fillId="0" borderId="0" xfId="0" applyAlignment="1">
      <alignment horizontal="center" vertical="center" wrapText="1"/>
    </xf>
    <xf numFmtId="0" fontId="5" fillId="33" borderId="10" xfId="0" applyFont="1" applyFill="1" applyBorder="1" applyAlignment="1">
      <alignment horizontal="center" vertical="center" wrapText="1"/>
    </xf>
    <xf numFmtId="0" fontId="16" fillId="0" borderId="0" xfId="0" applyFont="1" applyAlignment="1">
      <alignment/>
    </xf>
    <xf numFmtId="0" fontId="14" fillId="0" borderId="0" xfId="0" applyFont="1" applyAlignment="1">
      <alignment/>
    </xf>
    <xf numFmtId="0" fontId="27" fillId="0" borderId="0" xfId="0" applyFont="1" applyAlignment="1">
      <alignment/>
    </xf>
    <xf numFmtId="0" fontId="5" fillId="0" borderId="10" xfId="0" applyFont="1" applyBorder="1" applyAlignment="1">
      <alignment horizontal="center" vertical="center" wrapText="1"/>
    </xf>
    <xf numFmtId="0" fontId="9" fillId="0" borderId="10" xfId="0" applyFont="1" applyBorder="1" applyAlignment="1">
      <alignment horizontal="center"/>
    </xf>
    <xf numFmtId="0" fontId="0" fillId="0" borderId="0" xfId="0" applyFill="1" applyAlignment="1">
      <alignment/>
    </xf>
    <xf numFmtId="0" fontId="0" fillId="0" borderId="0" xfId="0" applyAlignment="1">
      <alignment horizontal="right"/>
    </xf>
    <xf numFmtId="0" fontId="24" fillId="0" borderId="11" xfId="42" applyFont="1" applyBorder="1" applyAlignment="1">
      <alignment vertical="center" wrapText="1"/>
    </xf>
    <xf numFmtId="0" fontId="20" fillId="0" borderId="0" xfId="42" applyFont="1" applyBorder="1" applyAlignment="1">
      <alignment horizontal="left" wrapText="1"/>
    </xf>
    <xf numFmtId="0" fontId="25" fillId="0" borderId="0" xfId="0" applyFont="1" applyAlignment="1">
      <alignment/>
    </xf>
    <xf numFmtId="0" fontId="24" fillId="0" borderId="0" xfId="42" applyFont="1" applyBorder="1" applyAlignment="1">
      <alignment horizontal="center" vertical="center"/>
    </xf>
    <xf numFmtId="0" fontId="20" fillId="0" borderId="0" xfId="42"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12" xfId="0" applyFont="1" applyFill="1" applyBorder="1" applyAlignment="1">
      <alignment vertical="center" wrapText="1"/>
    </xf>
    <xf numFmtId="49" fontId="5" fillId="0" borderId="12"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4" fontId="5" fillId="0" borderId="10"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left" vertical="center" wrapText="1"/>
    </xf>
    <xf numFmtId="49" fontId="9" fillId="0"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0" fontId="9" fillId="0" borderId="13"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49" fontId="18"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9" fillId="0" borderId="14" xfId="0" applyFont="1" applyFill="1" applyBorder="1" applyAlignment="1">
      <alignment horizontal="left" vertical="center" wrapText="1"/>
    </xf>
    <xf numFmtId="49" fontId="8" fillId="0" borderId="10" xfId="0" applyNumberFormat="1" applyFont="1" applyFill="1" applyBorder="1" applyAlignment="1">
      <alignment horizontal="center" vertical="center"/>
    </xf>
    <xf numFmtId="0" fontId="16" fillId="0" borderId="0" xfId="0" applyFont="1" applyFill="1" applyAlignment="1">
      <alignment/>
    </xf>
    <xf numFmtId="0" fontId="19" fillId="0" borderId="0" xfId="0" applyFont="1" applyFill="1" applyAlignment="1">
      <alignment horizontal="center" wrapText="1"/>
    </xf>
    <xf numFmtId="0" fontId="2" fillId="0" borderId="0" xfId="0" applyFont="1" applyFill="1" applyAlignment="1">
      <alignment/>
    </xf>
    <xf numFmtId="0" fontId="73" fillId="0" borderId="10" xfId="0" applyFont="1" applyFill="1" applyBorder="1" applyAlignment="1">
      <alignment horizontal="center" vertical="center" wrapText="1"/>
    </xf>
    <xf numFmtId="0" fontId="0" fillId="0" borderId="10" xfId="0" applyFill="1" applyBorder="1" applyAlignment="1">
      <alignment/>
    </xf>
    <xf numFmtId="49" fontId="0" fillId="0" borderId="0" xfId="0" applyNumberFormat="1" applyFill="1" applyAlignment="1">
      <alignment/>
    </xf>
    <xf numFmtId="0" fontId="9" fillId="0" borderId="10" xfId="0" applyFont="1" applyBorder="1" applyAlignment="1">
      <alignment horizontal="center" wrapText="1"/>
    </xf>
    <xf numFmtId="0" fontId="26" fillId="0" borderId="15" xfId="0" applyFont="1" applyBorder="1" applyAlignment="1">
      <alignment horizontal="center" vertical="center"/>
    </xf>
    <xf numFmtId="0" fontId="8"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74" fillId="0" borderId="10" xfId="0" applyFont="1" applyFill="1" applyBorder="1" applyAlignment="1">
      <alignment/>
    </xf>
    <xf numFmtId="14" fontId="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top" wrapText="1"/>
    </xf>
    <xf numFmtId="0" fontId="5" fillId="0" borderId="10" xfId="0" applyFont="1" applyFill="1" applyBorder="1" applyAlignment="1">
      <alignment horizontal="justify" vertical="center"/>
    </xf>
    <xf numFmtId="165" fontId="5" fillId="0" borderId="10" xfId="0" applyNumberFormat="1" applyFont="1" applyFill="1" applyBorder="1" applyAlignment="1">
      <alignment horizontal="center" vertical="center"/>
    </xf>
    <xf numFmtId="167" fontId="5" fillId="0" borderId="10" xfId="0" applyNumberFormat="1" applyFont="1" applyFill="1" applyBorder="1" applyAlignment="1">
      <alignment horizontal="center" vertical="center"/>
    </xf>
    <xf numFmtId="0" fontId="10" fillId="34"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xf>
    <xf numFmtId="0" fontId="32" fillId="0" borderId="10" xfId="0" applyFont="1" applyBorder="1" applyAlignment="1">
      <alignment wrapText="1"/>
    </xf>
    <xf numFmtId="0" fontId="32" fillId="0" borderId="10" xfId="0" applyFont="1" applyBorder="1" applyAlignment="1">
      <alignment horizontal="center"/>
    </xf>
    <xf numFmtId="0" fontId="32" fillId="0" borderId="10" xfId="0" applyFont="1" applyBorder="1" applyAlignment="1">
      <alignment horizontal="center" wrapText="1"/>
    </xf>
    <xf numFmtId="0" fontId="32" fillId="0" borderId="10" xfId="0" applyFont="1" applyBorder="1" applyAlignment="1">
      <alignment horizontal="center" vertical="center"/>
    </xf>
    <xf numFmtId="0" fontId="32" fillId="0" borderId="10" xfId="0" applyFont="1" applyBorder="1" applyAlignment="1">
      <alignment vertical="center"/>
    </xf>
    <xf numFmtId="14" fontId="32" fillId="0" borderId="10" xfId="0" applyNumberFormat="1" applyFont="1" applyBorder="1" applyAlignment="1">
      <alignment horizontal="center" vertical="center"/>
    </xf>
    <xf numFmtId="0" fontId="32" fillId="0" borderId="12" xfId="0" applyFont="1" applyBorder="1" applyAlignment="1">
      <alignment horizontal="center" vertical="center"/>
    </xf>
    <xf numFmtId="172" fontId="15" fillId="0" borderId="10" xfId="0" applyNumberFormat="1" applyFont="1" applyFill="1" applyBorder="1" applyAlignment="1">
      <alignment horizontal="center" vertical="center"/>
    </xf>
    <xf numFmtId="172" fontId="0" fillId="0" borderId="0" xfId="0" applyNumberFormat="1" applyAlignment="1">
      <alignment/>
    </xf>
    <xf numFmtId="172" fontId="0" fillId="0" borderId="0" xfId="0" applyNumberFormat="1" applyFill="1" applyAlignment="1">
      <alignment/>
    </xf>
    <xf numFmtId="172" fontId="63" fillId="0" borderId="0" xfId="0" applyNumberFormat="1" applyFont="1" applyFill="1" applyAlignment="1">
      <alignment/>
    </xf>
    <xf numFmtId="49" fontId="0" fillId="0" borderId="12" xfId="0" applyNumberFormat="1" applyFill="1" applyBorder="1" applyAlignment="1">
      <alignment/>
    </xf>
    <xf numFmtId="0" fontId="7" fillId="0" borderId="10" xfId="0" applyFont="1" applyFill="1" applyBorder="1" applyAlignment="1">
      <alignment horizontal="left" vertical="top" wrapText="1"/>
    </xf>
    <xf numFmtId="49" fontId="5" fillId="0" borderId="10" xfId="0" applyNumberFormat="1" applyFont="1" applyFill="1" applyBorder="1" applyAlignment="1">
      <alignment horizontal="center" vertical="center"/>
    </xf>
    <xf numFmtId="0" fontId="8" fillId="0" borderId="10"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9" fillId="0" borderId="12" xfId="0" applyFont="1" applyFill="1" applyBorder="1" applyAlignment="1">
      <alignment vertical="center" wrapText="1"/>
    </xf>
    <xf numFmtId="49" fontId="11" fillId="0" borderId="12" xfId="0" applyNumberFormat="1" applyFont="1" applyFill="1" applyBorder="1" applyAlignment="1">
      <alignment horizontal="center" vertical="center"/>
    </xf>
    <xf numFmtId="0" fontId="23" fillId="0" borderId="0" xfId="0" applyFont="1" applyBorder="1" applyAlignment="1">
      <alignment horizontal="center"/>
    </xf>
    <xf numFmtId="0" fontId="6" fillId="0" borderId="10" xfId="0" applyFont="1" applyFill="1" applyBorder="1" applyAlignment="1">
      <alignment horizontal="left" vertical="center" wrapText="1"/>
    </xf>
    <xf numFmtId="49" fontId="5" fillId="0" borderId="10" xfId="0" applyNumberFormat="1" applyFont="1" applyFill="1" applyBorder="1" applyAlignment="1">
      <alignment vertical="center" wrapText="1"/>
    </xf>
    <xf numFmtId="0" fontId="5" fillId="0" borderId="10" xfId="0" applyFont="1" applyBorder="1" applyAlignment="1">
      <alignment horizontal="center" vertical="center"/>
    </xf>
    <xf numFmtId="0" fontId="3" fillId="0" borderId="10" xfId="0" applyFont="1" applyFill="1" applyBorder="1" applyAlignment="1">
      <alignment horizontal="center" vertical="center" wrapText="1"/>
    </xf>
    <xf numFmtId="49" fontId="9" fillId="0" borderId="15" xfId="0" applyNumberFormat="1" applyFont="1" applyFill="1" applyBorder="1" applyAlignment="1">
      <alignment horizontal="center" vertical="center"/>
    </xf>
    <xf numFmtId="0" fontId="23" fillId="0" borderId="0" xfId="0" applyFont="1" applyBorder="1" applyAlignment="1">
      <alignment vertical="center"/>
    </xf>
    <xf numFmtId="0" fontId="0" fillId="0" borderId="0" xfId="0" applyBorder="1" applyAlignment="1">
      <alignment/>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0" xfId="0" applyAlignment="1">
      <alignment vertical="center"/>
    </xf>
    <xf numFmtId="49" fontId="15" fillId="0" borderId="10" xfId="0" applyNumberFormat="1" applyFont="1" applyFill="1" applyBorder="1" applyAlignment="1">
      <alignment horizontal="center" vertical="center" wrapText="1"/>
    </xf>
    <xf numFmtId="166" fontId="15" fillId="0" borderId="12" xfId="0" applyNumberFormat="1" applyFont="1" applyFill="1" applyBorder="1" applyAlignment="1">
      <alignment horizontal="center" vertical="center" wrapText="1"/>
    </xf>
    <xf numFmtId="172" fontId="15"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172" fontId="3" fillId="0" borderId="10" xfId="0" applyNumberFormat="1" applyFont="1" applyFill="1" applyBorder="1" applyAlignment="1">
      <alignment horizontal="center" vertical="center" wrapText="1"/>
    </xf>
    <xf numFmtId="0" fontId="15" fillId="0" borderId="10" xfId="0" applyFont="1" applyFill="1" applyBorder="1" applyAlignment="1">
      <alignment wrapText="1"/>
    </xf>
    <xf numFmtId="166" fontId="1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9" fillId="34" borderId="10" xfId="0" applyNumberFormat="1" applyFont="1" applyFill="1" applyBorder="1" applyAlignment="1">
      <alignment horizontal="center" vertical="center"/>
    </xf>
    <xf numFmtId="0" fontId="9" fillId="34" borderId="10" xfId="0" applyFont="1" applyFill="1" applyBorder="1" applyAlignment="1">
      <alignment vertical="center" wrapText="1"/>
    </xf>
    <xf numFmtId="0" fontId="9" fillId="34"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49" fontId="9" fillId="34" borderId="10" xfId="0" applyNumberFormat="1" applyFont="1" applyFill="1" applyBorder="1" applyAlignment="1">
      <alignment horizontal="left" vertical="center" wrapText="1"/>
    </xf>
    <xf numFmtId="0" fontId="75" fillId="34" borderId="10" xfId="0" applyFont="1" applyFill="1" applyBorder="1" applyAlignment="1">
      <alignment wrapText="1"/>
    </xf>
    <xf numFmtId="0" fontId="10" fillId="34" borderId="10" xfId="0" applyFont="1" applyFill="1" applyBorder="1" applyAlignment="1">
      <alignment vertical="center" wrapText="1"/>
    </xf>
    <xf numFmtId="0" fontId="9" fillId="34" borderId="10" xfId="0" applyFont="1" applyFill="1" applyBorder="1" applyAlignment="1">
      <alignment horizontal="left" vertical="center" wrapText="1"/>
    </xf>
    <xf numFmtId="49" fontId="75" fillId="34" borderId="10" xfId="0" applyNumberFormat="1" applyFont="1" applyFill="1" applyBorder="1" applyAlignment="1">
      <alignment horizontal="left" vertical="center" wrapText="1"/>
    </xf>
    <xf numFmtId="0" fontId="9" fillId="34" borderId="12" xfId="0" applyFont="1" applyFill="1" applyBorder="1" applyAlignment="1">
      <alignment vertical="center" wrapText="1"/>
    </xf>
    <xf numFmtId="49" fontId="10" fillId="34" borderId="10" xfId="0" applyNumberFormat="1" applyFont="1" applyFill="1" applyBorder="1" applyAlignment="1">
      <alignment horizontal="left" vertical="center" wrapText="1"/>
    </xf>
    <xf numFmtId="0" fontId="9" fillId="34" borderId="12" xfId="0" applyFont="1" applyFill="1" applyBorder="1" applyAlignment="1">
      <alignment horizontal="center" vertical="center" wrapText="1"/>
    </xf>
    <xf numFmtId="0" fontId="76" fillId="34" borderId="10" xfId="0" applyFont="1" applyFill="1" applyBorder="1" applyAlignment="1">
      <alignment/>
    </xf>
    <xf numFmtId="0" fontId="75" fillId="34" borderId="10" xfId="0" applyFont="1" applyFill="1" applyBorder="1" applyAlignment="1">
      <alignment vertical="center" wrapText="1"/>
    </xf>
    <xf numFmtId="49" fontId="10" fillId="34" borderId="12" xfId="0" applyNumberFormat="1" applyFont="1" applyFill="1" applyBorder="1" applyAlignment="1">
      <alignment horizontal="center" vertical="center"/>
    </xf>
    <xf numFmtId="49" fontId="10" fillId="34" borderId="10" xfId="0" applyNumberFormat="1"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10" xfId="0" applyFont="1" applyFill="1" applyBorder="1" applyAlignment="1">
      <alignment wrapText="1"/>
    </xf>
    <xf numFmtId="49" fontId="75" fillId="34" borderId="10" xfId="0" applyNumberFormat="1" applyFont="1" applyFill="1" applyBorder="1" applyAlignment="1">
      <alignment horizontal="center" vertical="center"/>
    </xf>
    <xf numFmtId="0" fontId="77" fillId="34" borderId="10" xfId="0" applyFont="1" applyFill="1" applyBorder="1" applyAlignment="1">
      <alignment horizontal="left" vertical="center" wrapText="1"/>
    </xf>
    <xf numFmtId="0" fontId="75" fillId="34" borderId="10" xfId="0" applyFont="1" applyFill="1" applyBorder="1" applyAlignment="1">
      <alignment horizontal="center" vertical="center" wrapText="1"/>
    </xf>
    <xf numFmtId="0" fontId="9" fillId="34" borderId="10" xfId="0" applyFont="1" applyFill="1" applyBorder="1" applyAlignment="1">
      <alignment horizontal="center" vertical="center"/>
    </xf>
    <xf numFmtId="49" fontId="75" fillId="34" borderId="10" xfId="0" applyNumberFormat="1" applyFont="1" applyFill="1" applyBorder="1" applyAlignment="1">
      <alignment horizontal="center" vertical="center" wrapText="1"/>
    </xf>
    <xf numFmtId="0" fontId="75" fillId="34" borderId="10" xfId="0" applyFont="1" applyFill="1" applyBorder="1" applyAlignment="1">
      <alignment horizontal="left" vertical="center" wrapText="1"/>
    </xf>
    <xf numFmtId="49" fontId="75" fillId="34" borderId="12" xfId="0" applyNumberFormat="1" applyFont="1" applyFill="1" applyBorder="1" applyAlignment="1">
      <alignment horizontal="center" vertical="center" wrapText="1"/>
    </xf>
    <xf numFmtId="49" fontId="10" fillId="34" borderId="16" xfId="0" applyNumberFormat="1" applyFont="1" applyFill="1" applyBorder="1" applyAlignment="1">
      <alignment horizontal="left" vertical="center" wrapText="1"/>
    </xf>
    <xf numFmtId="0" fontId="75" fillId="34" borderId="10" xfId="0" applyNumberFormat="1" applyFont="1" applyFill="1" applyBorder="1" applyAlignment="1">
      <alignment horizontal="left" vertical="center" wrapText="1"/>
    </xf>
    <xf numFmtId="49" fontId="78"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8" fillId="0" borderId="10" xfId="0" applyFont="1" applyFill="1" applyBorder="1" applyAlignment="1">
      <alignment vertical="center" wrapText="1"/>
    </xf>
    <xf numFmtId="165" fontId="7"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indent="1"/>
    </xf>
    <xf numFmtId="165" fontId="8"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xf>
    <xf numFmtId="4" fontId="10" fillId="0" borderId="10" xfId="0" applyNumberFormat="1" applyFont="1" applyFill="1" applyBorder="1" applyAlignment="1">
      <alignment horizontal="center" vertical="center" wrapText="1"/>
    </xf>
    <xf numFmtId="0" fontId="71" fillId="0" borderId="0" xfId="0" applyFont="1" applyFill="1" applyAlignment="1">
      <alignment/>
    </xf>
    <xf numFmtId="0" fontId="6" fillId="0" borderId="10" xfId="0" applyFont="1" applyFill="1" applyBorder="1" applyAlignment="1">
      <alignment horizontal="center" vertical="center"/>
    </xf>
    <xf numFmtId="0" fontId="5" fillId="0" borderId="12" xfId="0" applyFont="1" applyFill="1" applyBorder="1" applyAlignment="1">
      <alignment horizontal="center" vertical="center"/>
    </xf>
    <xf numFmtId="165" fontId="5" fillId="0" borderId="10" xfId="0" applyNumberFormat="1" applyFont="1" applyFill="1" applyBorder="1" applyAlignment="1">
      <alignment horizontal="center" vertical="center"/>
    </xf>
    <xf numFmtId="0" fontId="0" fillId="0" borderId="10" xfId="0" applyFill="1" applyBorder="1" applyAlignment="1">
      <alignment vertical="top"/>
    </xf>
    <xf numFmtId="164" fontId="5"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 fontId="5" fillId="0" borderId="12" xfId="0" applyNumberFormat="1" applyFont="1" applyFill="1" applyBorder="1" applyAlignment="1">
      <alignment horizontal="center" vertical="center"/>
    </xf>
    <xf numFmtId="165" fontId="5" fillId="0" borderId="12" xfId="0" applyNumberFormat="1" applyFont="1" applyFill="1" applyBorder="1" applyAlignment="1">
      <alignment horizontal="center" vertical="center"/>
    </xf>
    <xf numFmtId="2" fontId="10" fillId="0" borderId="12"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0" fontId="11" fillId="0" borderId="12" xfId="0"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65" fontId="6" fillId="0" borderId="10" xfId="0" applyNumberFormat="1" applyFont="1" applyFill="1" applyBorder="1" applyAlignment="1">
      <alignment horizontal="center" vertical="center"/>
    </xf>
    <xf numFmtId="0" fontId="0" fillId="0" borderId="16" xfId="0" applyFill="1" applyBorder="1" applyAlignment="1">
      <alignment horizontal="center" vertical="center"/>
    </xf>
    <xf numFmtId="49" fontId="9"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4" fontId="79" fillId="0" borderId="10"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4" fontId="5" fillId="0" borderId="0" xfId="0" applyNumberFormat="1" applyFont="1" applyFill="1" applyAlignment="1">
      <alignment horizontal="center" vertical="center"/>
    </xf>
    <xf numFmtId="164"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xf>
    <xf numFmtId="0" fontId="77" fillId="0" borderId="10" xfId="0" applyFont="1" applyFill="1" applyBorder="1" applyAlignment="1">
      <alignment horizontal="left" vertical="center" wrapText="1"/>
    </xf>
    <xf numFmtId="49" fontId="9" fillId="0" borderId="15"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49" fontId="9" fillId="0" borderId="16"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75" fillId="34" borderId="12" xfId="0" applyNumberFormat="1" applyFont="1" applyFill="1" applyBorder="1" applyAlignment="1">
      <alignment horizontal="center" vertical="center"/>
    </xf>
    <xf numFmtId="0" fontId="75" fillId="34" borderId="10" xfId="0" applyFont="1" applyFill="1" applyBorder="1" applyAlignment="1">
      <alignment horizontal="center" wrapText="1"/>
    </xf>
    <xf numFmtId="0" fontId="10" fillId="34" borderId="12" xfId="0" applyFont="1" applyFill="1" applyBorder="1" applyAlignment="1">
      <alignment horizontal="center" vertical="center" wrapText="1"/>
    </xf>
    <xf numFmtId="0" fontId="75" fillId="34" borderId="12" xfId="0" applyFont="1" applyFill="1" applyBorder="1" applyAlignment="1">
      <alignment horizontal="left" vertical="center" wrapText="1"/>
    </xf>
    <xf numFmtId="0" fontId="9" fillId="0" borderId="15" xfId="0" applyFont="1" applyFill="1" applyBorder="1" applyAlignment="1">
      <alignment horizontal="center" vertical="center" wrapText="1"/>
    </xf>
    <xf numFmtId="2" fontId="18"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49" fontId="10" fillId="0" borderId="12" xfId="0" applyNumberFormat="1" applyFont="1" applyFill="1" applyBorder="1" applyAlignment="1">
      <alignment horizontal="center" vertical="center" wrapText="1"/>
    </xf>
    <xf numFmtId="164" fontId="9" fillId="0" borderId="10" xfId="0" applyNumberFormat="1" applyFont="1" applyFill="1" applyBorder="1" applyAlignment="1">
      <alignment horizontal="center" vertical="center"/>
    </xf>
    <xf numFmtId="0" fontId="7" fillId="0" borderId="10" xfId="0" applyFont="1" applyFill="1" applyBorder="1" applyAlignment="1">
      <alignment horizontal="center" vertical="top"/>
    </xf>
    <xf numFmtId="49" fontId="7" fillId="0" borderId="10" xfId="0" applyNumberFormat="1" applyFont="1" applyFill="1" applyBorder="1" applyAlignment="1">
      <alignment horizontal="center" vertical="top"/>
    </xf>
    <xf numFmtId="4" fontId="7" fillId="0" borderId="10" xfId="0" applyNumberFormat="1" applyFont="1" applyFill="1" applyBorder="1" applyAlignment="1">
      <alignment horizontal="center" vertical="top"/>
    </xf>
    <xf numFmtId="0" fontId="8" fillId="0" borderId="10" xfId="0"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4" fontId="7"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indent="1"/>
    </xf>
    <xf numFmtId="4" fontId="22" fillId="0" borderId="10" xfId="0" applyNumberFormat="1" applyFont="1" applyFill="1" applyBorder="1" applyAlignment="1">
      <alignment horizontal="center"/>
    </xf>
    <xf numFmtId="4" fontId="35" fillId="0" borderId="10" xfId="0" applyNumberFormat="1" applyFont="1" applyFill="1" applyBorder="1" applyAlignment="1">
      <alignment horizontal="center"/>
    </xf>
    <xf numFmtId="0" fontId="16" fillId="0" borderId="10" xfId="0" applyFont="1" applyFill="1" applyBorder="1" applyAlignment="1">
      <alignment/>
    </xf>
    <xf numFmtId="0" fontId="8" fillId="0" borderId="12" xfId="0" applyFont="1" applyFill="1" applyBorder="1" applyAlignment="1">
      <alignment horizontal="center" vertical="center" wrapText="1"/>
    </xf>
    <xf numFmtId="0" fontId="9" fillId="0" borderId="15" xfId="0" applyFont="1" applyFill="1" applyBorder="1" applyAlignment="1">
      <alignment horizontal="center" vertical="center"/>
    </xf>
    <xf numFmtId="49" fontId="10" fillId="0" borderId="10" xfId="0" applyNumberFormat="1" applyFont="1" applyFill="1" applyBorder="1" applyAlignment="1">
      <alignment horizontal="center" vertical="center"/>
    </xf>
    <xf numFmtId="0" fontId="75" fillId="0" borderId="15" xfId="0" applyFont="1" applyFill="1" applyBorder="1" applyAlignment="1">
      <alignment horizontal="center" vertical="center" wrapText="1"/>
    </xf>
    <xf numFmtId="49" fontId="5" fillId="0" borderId="15" xfId="0" applyNumberFormat="1" applyFont="1" applyFill="1" applyBorder="1" applyAlignment="1">
      <alignment horizontal="center" vertical="center"/>
    </xf>
    <xf numFmtId="0" fontId="80" fillId="0" borderId="15" xfId="0" applyFont="1" applyFill="1" applyBorder="1" applyAlignment="1">
      <alignment horizontal="center" vertical="center"/>
    </xf>
    <xf numFmtId="0" fontId="75"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1" fontId="15" fillId="0" borderId="10" xfId="0" applyNumberFormat="1" applyFont="1" applyFill="1" applyBorder="1" applyAlignment="1">
      <alignment horizontal="center" vertical="center"/>
    </xf>
    <xf numFmtId="2" fontId="15" fillId="0" borderId="10" xfId="0" applyNumberFormat="1" applyFont="1" applyFill="1" applyBorder="1" applyAlignment="1">
      <alignment horizontal="center" vertical="top" wrapText="1"/>
    </xf>
    <xf numFmtId="2" fontId="15" fillId="0" borderId="15" xfId="0" applyNumberFormat="1" applyFont="1" applyFill="1" applyBorder="1" applyAlignment="1">
      <alignment horizontal="center" vertical="center"/>
    </xf>
    <xf numFmtId="2" fontId="15" fillId="0" borderId="10" xfId="0" applyNumberFormat="1" applyFont="1" applyFill="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2"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22" fillId="0" borderId="10" xfId="0" applyFont="1" applyFill="1" applyBorder="1" applyAlignment="1">
      <alignment horizontal="center" vertical="center"/>
    </xf>
    <xf numFmtId="0" fontId="0" fillId="0" borderId="10" xfId="0" applyFill="1" applyBorder="1" applyAlignment="1">
      <alignment horizontal="center"/>
    </xf>
    <xf numFmtId="4" fontId="15" fillId="0" borderId="10" xfId="0"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0" fontId="73" fillId="0" borderId="10" xfId="0" applyFont="1" applyFill="1" applyBorder="1" applyAlignment="1">
      <alignment horizontal="center" vertical="center"/>
    </xf>
    <xf numFmtId="2" fontId="9" fillId="0" borderId="15" xfId="0" applyNumberFormat="1" applyFont="1" applyFill="1" applyBorder="1" applyAlignment="1">
      <alignment horizontal="center" vertical="center"/>
    </xf>
    <xf numFmtId="0" fontId="73" fillId="0" borderId="10" xfId="0" applyFont="1" applyFill="1" applyBorder="1" applyAlignment="1">
      <alignment horizontal="center" vertical="top" wrapText="1"/>
    </xf>
    <xf numFmtId="2" fontId="22" fillId="0" borderId="10" xfId="0" applyNumberFormat="1" applyFont="1" applyFill="1" applyBorder="1" applyAlignment="1">
      <alignment horizontal="center" vertical="center"/>
    </xf>
    <xf numFmtId="49" fontId="22" fillId="0" borderId="10" xfId="0" applyNumberFormat="1" applyFont="1" applyFill="1" applyBorder="1" applyAlignment="1">
      <alignment horizontal="center" vertical="center"/>
    </xf>
    <xf numFmtId="1" fontId="22" fillId="0" borderId="10" xfId="0" applyNumberFormat="1" applyFont="1" applyFill="1" applyBorder="1" applyAlignment="1">
      <alignment horizontal="center" vertical="center"/>
    </xf>
    <xf numFmtId="2" fontId="22" fillId="0" borderId="10" xfId="0" applyNumberFormat="1" applyFont="1" applyFill="1" applyBorder="1" applyAlignment="1">
      <alignment horizontal="left" vertical="top" wrapText="1"/>
    </xf>
    <xf numFmtId="172" fontId="22" fillId="0" borderId="10" xfId="0" applyNumberFormat="1" applyFont="1" applyFill="1" applyBorder="1" applyAlignment="1">
      <alignment horizontal="center" vertical="center"/>
    </xf>
    <xf numFmtId="0" fontId="9" fillId="0" borderId="10" xfId="0" applyFont="1" applyFill="1" applyBorder="1" applyAlignment="1">
      <alignment wrapText="1"/>
    </xf>
    <xf numFmtId="166" fontId="15"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4" fontId="73" fillId="0" borderId="10" xfId="0" applyNumberFormat="1" applyFont="1" applyFill="1" applyBorder="1" applyAlignment="1">
      <alignment horizontal="center" vertical="center"/>
    </xf>
    <xf numFmtId="0" fontId="15" fillId="0" borderId="10" xfId="0" applyFont="1" applyFill="1" applyBorder="1" applyAlignment="1">
      <alignment vertical="center" wrapText="1"/>
    </xf>
    <xf numFmtId="0" fontId="5" fillId="0" borderId="10" xfId="0" applyFont="1" applyFill="1" applyBorder="1" applyAlignment="1">
      <alignment horizontal="left" vertical="top" wrapText="1"/>
    </xf>
    <xf numFmtId="0" fontId="22" fillId="0" borderId="10" xfId="0" applyFont="1" applyFill="1" applyBorder="1" applyAlignment="1">
      <alignment vertical="center" wrapText="1"/>
    </xf>
    <xf numFmtId="49" fontId="73" fillId="0" borderId="10" xfId="0" applyNumberFormat="1" applyFont="1" applyFill="1" applyBorder="1" applyAlignment="1">
      <alignment horizontal="center" vertical="center"/>
    </xf>
    <xf numFmtId="0" fontId="73" fillId="0" borderId="10" xfId="0" applyFont="1" applyFill="1" applyBorder="1" applyAlignment="1">
      <alignment vertical="center" wrapText="1"/>
    </xf>
    <xf numFmtId="0" fontId="15" fillId="0" borderId="13" xfId="0" applyFont="1" applyFill="1" applyBorder="1" applyAlignment="1">
      <alignment vertical="center" wrapText="1"/>
    </xf>
    <xf numFmtId="0" fontId="15" fillId="34"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34" borderId="10" xfId="0" applyFont="1" applyFill="1" applyBorder="1" applyAlignment="1">
      <alignment horizontal="center" vertical="center" wrapText="1"/>
    </xf>
    <xf numFmtId="49" fontId="15" fillId="34" borderId="10" xfId="0" applyNumberFormat="1" applyFont="1" applyFill="1" applyBorder="1" applyAlignment="1">
      <alignment horizontal="center" vertical="center"/>
    </xf>
    <xf numFmtId="0" fontId="15" fillId="34" borderId="10" xfId="0" applyFont="1" applyFill="1" applyBorder="1" applyAlignment="1">
      <alignment vertical="center" wrapText="1"/>
    </xf>
    <xf numFmtId="0" fontId="22" fillId="34" borderId="10" xfId="0" applyFont="1" applyFill="1" applyBorder="1" applyAlignment="1">
      <alignment horizontal="center" vertical="center" wrapText="1"/>
    </xf>
    <xf numFmtId="49" fontId="15" fillId="34" borderId="10" xfId="0" applyNumberFormat="1" applyFont="1" applyFill="1" applyBorder="1" applyAlignment="1">
      <alignment horizontal="left" vertical="center" wrapText="1"/>
    </xf>
    <xf numFmtId="0" fontId="75" fillId="0" borderId="0" xfId="0" applyFont="1" applyAlignment="1">
      <alignment horizontal="left" vertical="center"/>
    </xf>
    <xf numFmtId="0" fontId="75" fillId="34" borderId="0" xfId="0" applyFont="1" applyFill="1" applyAlignment="1">
      <alignment horizontal="justify" vertical="center"/>
    </xf>
    <xf numFmtId="0" fontId="77" fillId="34" borderId="12" xfId="0" applyFont="1" applyFill="1" applyBorder="1" applyAlignment="1">
      <alignment vertical="center" wrapText="1"/>
    </xf>
    <xf numFmtId="0" fontId="75" fillId="34" borderId="12" xfId="0" applyFont="1" applyFill="1" applyBorder="1" applyAlignment="1">
      <alignment vertical="center" wrapText="1"/>
    </xf>
    <xf numFmtId="0" fontId="10" fillId="34" borderId="12" xfId="0" applyFont="1" applyFill="1" applyBorder="1" applyAlignment="1">
      <alignment vertical="center" wrapText="1"/>
    </xf>
    <xf numFmtId="0" fontId="10" fillId="34" borderId="13"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0" xfId="0" applyFont="1" applyFill="1" applyAlignment="1">
      <alignment vertical="center" wrapText="1"/>
    </xf>
    <xf numFmtId="0" fontId="5"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49" fontId="5" fillId="0" borderId="18" xfId="0" applyNumberFormat="1" applyFont="1" applyFill="1" applyBorder="1" applyAlignment="1">
      <alignment horizontal="center" vertical="center" wrapText="1"/>
    </xf>
    <xf numFmtId="0" fontId="24" fillId="0" borderId="0" xfId="42" applyFont="1" applyBorder="1" applyAlignment="1">
      <alignment horizontal="center" vertical="center"/>
    </xf>
    <xf numFmtId="0" fontId="0" fillId="0" borderId="0" xfId="0" applyAlignment="1">
      <alignment horizontal="center" vertical="center"/>
    </xf>
    <xf numFmtId="0" fontId="20" fillId="0" borderId="0" xfId="42" applyFont="1" applyBorder="1" applyAlignment="1">
      <alignment horizontal="left" vertical="center" wrapText="1"/>
    </xf>
    <xf numFmtId="0" fontId="0" fillId="0" borderId="0" xfId="0" applyAlignment="1">
      <alignment horizontal="left" vertical="center" wrapText="1"/>
    </xf>
    <xf numFmtId="0" fontId="20" fillId="0" borderId="0" xfId="42" applyFont="1" applyBorder="1" applyAlignment="1">
      <alignment horizontal="left" wrapText="1"/>
    </xf>
    <xf numFmtId="0" fontId="0" fillId="0" borderId="0" xfId="0" applyAlignment="1">
      <alignment horizontal="left" wrapText="1"/>
    </xf>
    <xf numFmtId="0" fontId="19" fillId="0" borderId="0" xfId="0" applyFont="1" applyFill="1" applyAlignment="1">
      <alignment horizontal="center" wrapText="1"/>
    </xf>
    <xf numFmtId="0" fontId="20" fillId="0" borderId="0" xfId="0" applyFont="1" applyFill="1" applyAlignment="1">
      <alignment horizontal="center" wrapText="1"/>
    </xf>
    <xf numFmtId="49" fontId="9" fillId="0" borderId="10" xfId="0" applyNumberFormat="1" applyFont="1" applyFill="1" applyBorder="1" applyAlignment="1">
      <alignment horizontal="center" vertical="center"/>
    </xf>
    <xf numFmtId="0" fontId="0" fillId="0" borderId="10" xfId="0" applyBorder="1" applyAlignment="1">
      <alignment horizontal="center" vertical="center"/>
    </xf>
    <xf numFmtId="49" fontId="9" fillId="0" borderId="10" xfId="0" applyNumberFormat="1" applyFont="1" applyFill="1" applyBorder="1" applyAlignment="1">
      <alignment horizontal="center" vertical="center"/>
    </xf>
    <xf numFmtId="0" fontId="0" fillId="0" borderId="10" xfId="0" applyFill="1" applyBorder="1" applyAlignment="1">
      <alignment/>
    </xf>
    <xf numFmtId="0" fontId="0" fillId="0" borderId="10" xfId="0" applyBorder="1" applyAlignment="1">
      <alignment/>
    </xf>
    <xf numFmtId="0" fontId="75" fillId="0" borderId="12" xfId="0" applyFont="1" applyFill="1" applyBorder="1" applyAlignment="1">
      <alignment horizontal="left" vertical="center"/>
    </xf>
    <xf numFmtId="0" fontId="75" fillId="0" borderId="16" xfId="0" applyFont="1" applyFill="1"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49" fontId="5" fillId="0" borderId="12" xfId="0" applyNumberFormat="1" applyFont="1" applyFill="1" applyBorder="1" applyAlignment="1">
      <alignment horizontal="center" vertical="center" wrapText="1"/>
    </xf>
    <xf numFmtId="0" fontId="0" fillId="0" borderId="15" xfId="0" applyBorder="1" applyAlignment="1">
      <alignment horizontal="center" vertical="center"/>
    </xf>
    <xf numFmtId="49" fontId="5" fillId="0" borderId="12" xfId="0" applyNumberFormat="1" applyFont="1" applyFill="1" applyBorder="1" applyAlignment="1">
      <alignment horizontal="center" vertical="center"/>
    </xf>
    <xf numFmtId="0" fontId="0" fillId="0" borderId="12" xfId="0" applyBorder="1" applyAlignment="1">
      <alignment horizontal="center" vertical="center"/>
    </xf>
    <xf numFmtId="0" fontId="5" fillId="0" borderId="12" xfId="0" applyFont="1" applyFill="1" applyBorder="1" applyAlignment="1">
      <alignment vertical="center" wrapText="1"/>
    </xf>
    <xf numFmtId="0" fontId="0" fillId="0" borderId="15" xfId="0" applyBorder="1" applyAlignment="1">
      <alignment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vertical="center" wrapText="1"/>
    </xf>
    <xf numFmtId="0" fontId="0" fillId="0" borderId="16" xfId="0" applyBorder="1" applyAlignment="1">
      <alignment vertical="center" wrapText="1"/>
    </xf>
    <xf numFmtId="0" fontId="79" fillId="0" borderId="10" xfId="0" applyFont="1" applyFill="1" applyBorder="1" applyAlignment="1">
      <alignment horizontal="left" vertical="center" wrapText="1"/>
    </xf>
    <xf numFmtId="0" fontId="79" fillId="0" borderId="10" xfId="0" applyFont="1" applyBorder="1" applyAlignment="1">
      <alignment horizontal="left"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49" fontId="9" fillId="0" borderId="12"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5" fillId="0" borderId="16"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49" fontId="9" fillId="34" borderId="12"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5" xfId="0" applyFill="1" applyBorder="1" applyAlignment="1">
      <alignment horizontal="left" vertical="center" wrapText="1"/>
    </xf>
    <xf numFmtId="49" fontId="9" fillId="0" borderId="16"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49" fontId="6" fillId="0" borderId="12"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0" fontId="6" fillId="0" borderId="12" xfId="0" applyFont="1" applyFill="1" applyBorder="1" applyAlignment="1">
      <alignment vertical="center" wrapText="1"/>
    </xf>
    <xf numFmtId="0" fontId="6" fillId="0" borderId="16" xfId="0" applyFont="1" applyFill="1" applyBorder="1" applyAlignment="1">
      <alignment vertical="center" wrapText="1"/>
    </xf>
    <xf numFmtId="0" fontId="0" fillId="0" borderId="15" xfId="0" applyFill="1" applyBorder="1" applyAlignment="1">
      <alignment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2" xfId="0"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49" fontId="0" fillId="0" borderId="12" xfId="0" applyNumberFormat="1" applyFill="1" applyBorder="1" applyAlignment="1">
      <alignment vertical="center"/>
    </xf>
    <xf numFmtId="0" fontId="0" fillId="0" borderId="16" xfId="0" applyFill="1" applyBorder="1" applyAlignment="1">
      <alignment vertical="center"/>
    </xf>
    <xf numFmtId="0" fontId="6"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6" xfId="0" applyFont="1" applyFill="1" applyBorder="1" applyAlignment="1">
      <alignment horizontal="center" vertical="center"/>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0" xfId="0"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center" wrapText="1"/>
    </xf>
    <xf numFmtId="0" fontId="0" fillId="0" borderId="10" xfId="0" applyFont="1" applyFill="1" applyBorder="1" applyAlignment="1">
      <alignment/>
    </xf>
    <xf numFmtId="165" fontId="6" fillId="0" borderId="10" xfId="0" applyNumberFormat="1" applyFont="1" applyFill="1" applyBorder="1" applyAlignment="1">
      <alignment horizontal="center" vertical="center" wrapText="1"/>
    </xf>
    <xf numFmtId="165" fontId="0" fillId="0" borderId="10" xfId="0" applyNumberFormat="1" applyFont="1" applyFill="1" applyBorder="1" applyAlignment="1">
      <alignment horizontal="center" vertical="center"/>
    </xf>
    <xf numFmtId="0" fontId="19" fillId="0" borderId="0" xfId="42" applyFont="1" applyBorder="1" applyAlignment="1">
      <alignment horizontal="center" vertical="center" wrapText="1"/>
    </xf>
    <xf numFmtId="0" fontId="0" fillId="0" borderId="19" xfId="0"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vertical="center" wrapText="1"/>
    </xf>
    <xf numFmtId="49" fontId="79" fillId="0" borderId="12" xfId="0" applyNumberFormat="1" applyFont="1" applyFill="1" applyBorder="1" applyAlignment="1">
      <alignment horizontal="center" vertical="center"/>
    </xf>
    <xf numFmtId="49" fontId="79" fillId="0" borderId="15" xfId="0" applyNumberFormat="1" applyFont="1" applyBorder="1" applyAlignment="1">
      <alignment horizontal="center" vertical="center"/>
    </xf>
    <xf numFmtId="0" fontId="79" fillId="0" borderId="12" xfId="0" applyFont="1" applyFill="1" applyBorder="1" applyAlignment="1">
      <alignment horizontal="center" vertical="center"/>
    </xf>
    <xf numFmtId="0" fontId="79" fillId="0" borderId="15" xfId="0" applyFont="1" applyBorder="1" applyAlignment="1">
      <alignment horizontal="center" vertical="center"/>
    </xf>
    <xf numFmtId="49" fontId="6" fillId="0" borderId="12" xfId="0" applyNumberFormat="1" applyFont="1" applyFill="1" applyBorder="1" applyAlignment="1">
      <alignment horizontal="center" vertical="center"/>
    </xf>
    <xf numFmtId="0" fontId="0" fillId="0" borderId="16" xfId="0" applyFont="1" applyFill="1" applyBorder="1" applyAlignment="1">
      <alignment vertical="center" wrapText="1"/>
    </xf>
    <xf numFmtId="49" fontId="6" fillId="0" borderId="10" xfId="0" applyNumberFormat="1" applyFont="1" applyFill="1" applyBorder="1" applyAlignment="1">
      <alignment horizontal="center" vertical="center"/>
    </xf>
    <xf numFmtId="0" fontId="22" fillId="0" borderId="12" xfId="0" applyFont="1" applyFill="1" applyBorder="1" applyAlignment="1">
      <alignment horizontal="left" vertical="center" wrapText="1"/>
    </xf>
    <xf numFmtId="49" fontId="10" fillId="0" borderId="12"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0" fillId="0" borderId="0" xfId="0" applyFont="1" applyAlignment="1">
      <alignment horizontal="left" vertical="center" wrapText="1"/>
    </xf>
    <xf numFmtId="0" fontId="0" fillId="0" borderId="15" xfId="0" applyBorder="1" applyAlignment="1">
      <alignment horizontal="left" vertical="center" wrapText="1"/>
    </xf>
    <xf numFmtId="49" fontId="6" fillId="0" borderId="12"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0" borderId="15" xfId="0" applyFont="1" applyFill="1" applyBorder="1" applyAlignment="1">
      <alignment horizontal="left"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9" fillId="0" borderId="0" xfId="0" applyFont="1" applyFill="1" applyAlignment="1">
      <alignment horizontal="center" vertical="center" wrapText="1"/>
    </xf>
    <xf numFmtId="0" fontId="81" fillId="0" borderId="0" xfId="0" applyFont="1" applyAlignment="1">
      <alignment horizontal="center" vertical="center" wrapText="1"/>
    </xf>
    <xf numFmtId="0" fontId="27" fillId="0"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6" xfId="0" applyFont="1" applyFill="1" applyBorder="1" applyAlignment="1">
      <alignment vertical="center" wrapText="1"/>
    </xf>
    <xf numFmtId="0" fontId="16" fillId="0" borderId="10" xfId="0" applyFont="1" applyFill="1" applyBorder="1" applyAlignment="1">
      <alignment/>
    </xf>
    <xf numFmtId="0" fontId="7"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49" fontId="29" fillId="0" borderId="0" xfId="0" applyNumberFormat="1" applyFont="1" applyAlignment="1">
      <alignment/>
    </xf>
    <xf numFmtId="0" fontId="29" fillId="0" borderId="0" xfId="0" applyFont="1" applyAlignment="1">
      <alignment/>
    </xf>
    <xf numFmtId="0" fontId="75" fillId="34" borderId="12" xfId="0" applyFont="1" applyFill="1" applyBorder="1" applyAlignment="1">
      <alignment horizontal="left" vertical="center" wrapText="1"/>
    </xf>
    <xf numFmtId="0" fontId="75" fillId="34" borderId="15" xfId="0" applyFont="1" applyFill="1" applyBorder="1" applyAlignment="1">
      <alignment horizontal="left" vertical="center" wrapText="1"/>
    </xf>
    <xf numFmtId="49" fontId="75" fillId="34" borderId="12" xfId="0" applyNumberFormat="1" applyFont="1" applyFill="1" applyBorder="1" applyAlignment="1">
      <alignment horizontal="left" vertical="center" wrapText="1"/>
    </xf>
    <xf numFmtId="49" fontId="75" fillId="34" borderId="15" xfId="0" applyNumberFormat="1" applyFont="1" applyFill="1" applyBorder="1" applyAlignment="1">
      <alignment horizontal="left" vertical="center" wrapText="1"/>
    </xf>
    <xf numFmtId="0" fontId="75" fillId="34" borderId="12" xfId="0" applyFont="1" applyFill="1" applyBorder="1" applyAlignment="1">
      <alignment horizontal="center" wrapText="1"/>
    </xf>
    <xf numFmtId="0" fontId="75" fillId="34" borderId="15" xfId="0" applyFont="1" applyFill="1" applyBorder="1" applyAlignment="1">
      <alignment horizontal="center" wrapText="1"/>
    </xf>
    <xf numFmtId="0" fontId="9"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82" fillId="0" borderId="15" xfId="0" applyFont="1" applyBorder="1" applyAlignment="1">
      <alignment horizontal="center" vertical="center" wrapText="1"/>
    </xf>
    <xf numFmtId="0" fontId="0" fillId="0" borderId="10" xfId="0" applyBorder="1" applyAlignment="1">
      <alignment horizontal="center" vertical="center" wrapText="1"/>
    </xf>
    <xf numFmtId="0" fontId="78" fillId="0" borderId="13" xfId="0" applyFont="1" applyFill="1" applyBorder="1" applyAlignment="1">
      <alignment horizontal="left" vertical="center" wrapText="1"/>
    </xf>
    <xf numFmtId="0" fontId="78" fillId="0" borderId="19" xfId="0" applyFont="1" applyFill="1" applyBorder="1" applyAlignment="1">
      <alignment horizontal="left" vertical="center" wrapText="1"/>
    </xf>
    <xf numFmtId="0" fontId="78" fillId="0" borderId="18" xfId="0" applyFont="1" applyFill="1" applyBorder="1" applyAlignment="1">
      <alignment horizontal="left" vertical="center" wrapText="1"/>
    </xf>
    <xf numFmtId="0" fontId="77" fillId="34" borderId="12" xfId="0" applyFont="1" applyFill="1" applyBorder="1" applyAlignment="1">
      <alignment horizontal="left" vertical="center" wrapText="1"/>
    </xf>
    <xf numFmtId="0" fontId="77" fillId="34" borderId="15" xfId="0" applyFont="1" applyFill="1" applyBorder="1" applyAlignment="1">
      <alignment horizontal="left" vertical="center" wrapText="1"/>
    </xf>
    <xf numFmtId="0" fontId="75" fillId="34" borderId="12" xfId="0" applyFont="1" applyFill="1" applyBorder="1" applyAlignment="1">
      <alignment horizontal="center" vertical="center" wrapText="1"/>
    </xf>
    <xf numFmtId="0" fontId="75" fillId="34" borderId="15"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30" fillId="0" borderId="0" xfId="0" applyFont="1" applyFill="1" applyAlignment="1">
      <alignment wrapText="1"/>
    </xf>
    <xf numFmtId="0" fontId="31" fillId="0" borderId="0" xfId="0" applyFont="1" applyAlignment="1">
      <alignment wrapText="1"/>
    </xf>
    <xf numFmtId="0" fontId="19" fillId="0" borderId="11" xfId="0" applyFont="1" applyFill="1" applyBorder="1" applyAlignment="1">
      <alignment horizontal="center" wrapText="1"/>
    </xf>
    <xf numFmtId="0" fontId="30" fillId="0" borderId="11" xfId="0" applyFont="1" applyFill="1" applyBorder="1" applyAlignment="1">
      <alignment wrapText="1"/>
    </xf>
    <xf numFmtId="0" fontId="31" fillId="0" borderId="11" xfId="0" applyFont="1" applyBorder="1" applyAlignment="1">
      <alignment wrapText="1"/>
    </xf>
    <xf numFmtId="0" fontId="5" fillId="0" borderId="10" xfId="0" applyFont="1" applyBorder="1" applyAlignment="1">
      <alignment horizontal="center" vertical="center" wrapText="1"/>
    </xf>
    <xf numFmtId="0" fontId="6" fillId="0" borderId="13" xfId="0" applyFont="1" applyFill="1" applyBorder="1" applyAlignment="1">
      <alignment vertical="center" wrapText="1"/>
    </xf>
    <xf numFmtId="0" fontId="0" fillId="0" borderId="19" xfId="0" applyFill="1" applyBorder="1" applyAlignment="1">
      <alignment vertical="center"/>
    </xf>
    <xf numFmtId="0" fontId="0" fillId="0" borderId="18" xfId="0" applyFill="1" applyBorder="1" applyAlignment="1">
      <alignment vertical="center"/>
    </xf>
    <xf numFmtId="0" fontId="15" fillId="0" borderId="13"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8" xfId="0" applyFont="1" applyFill="1" applyBorder="1" applyAlignment="1">
      <alignment horizontal="center" vertical="center" wrapText="1"/>
    </xf>
    <xf numFmtId="49" fontId="75" fillId="34" borderId="12" xfId="0" applyNumberFormat="1" applyFont="1" applyFill="1" applyBorder="1" applyAlignment="1">
      <alignment horizontal="center" vertical="center"/>
    </xf>
    <xf numFmtId="49" fontId="75" fillId="34" borderId="15" xfId="0" applyNumberFormat="1" applyFont="1" applyFill="1" applyBorder="1" applyAlignment="1">
      <alignment horizontal="center" vertical="center"/>
    </xf>
    <xf numFmtId="2"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9" fillId="0" borderId="10" xfId="0" applyFont="1" applyFill="1" applyBorder="1" applyAlignment="1">
      <alignment horizontal="center" wrapText="1"/>
    </xf>
    <xf numFmtId="0" fontId="9" fillId="0" borderId="10" xfId="0" applyFont="1" applyBorder="1" applyAlignment="1">
      <alignment horizontal="center" wrapText="1"/>
    </xf>
    <xf numFmtId="0" fontId="6" fillId="0" borderId="10" xfId="0" applyFont="1" applyFill="1" applyBorder="1" applyAlignment="1">
      <alignment horizontal="center" vertical="center"/>
    </xf>
    <xf numFmtId="0" fontId="23" fillId="0" borderId="0" xfId="0" applyFont="1" applyBorder="1" applyAlignment="1">
      <alignment horizontal="center" wrapText="1"/>
    </xf>
    <xf numFmtId="0" fontId="26" fillId="0" borderId="16" xfId="0" applyFont="1" applyFill="1" applyBorder="1" applyAlignment="1">
      <alignment/>
    </xf>
    <xf numFmtId="0" fontId="26" fillId="0" borderId="15" xfId="0" applyFont="1" applyFill="1" applyBorder="1" applyAlignment="1">
      <alignment/>
    </xf>
    <xf numFmtId="0" fontId="23" fillId="0" borderId="0" xfId="0" applyFont="1" applyBorder="1" applyAlignment="1">
      <alignment horizontal="center"/>
    </xf>
    <xf numFmtId="2" fontId="15" fillId="0" borderId="10" xfId="0" applyNumberFormat="1" applyFont="1" applyFill="1" applyBorder="1" applyAlignment="1">
      <alignment horizontal="center" vertical="center"/>
    </xf>
    <xf numFmtId="0" fontId="9" fillId="0" borderId="10" xfId="0" applyFont="1" applyFill="1" applyBorder="1" applyAlignment="1">
      <alignment horizontal="center"/>
    </xf>
    <xf numFmtId="2" fontId="18"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23" fillId="0" borderId="0" xfId="0" applyFont="1" applyAlignment="1">
      <alignment horizontal="center" vertical="center" wrapText="1"/>
    </xf>
    <xf numFmtId="0" fontId="23" fillId="0" borderId="11" xfId="0" applyFont="1" applyBorder="1" applyAlignment="1">
      <alignment horizontal="center" vertical="center"/>
    </xf>
    <xf numFmtId="0" fontId="0" fillId="0" borderId="11" xfId="0" applyBorder="1" applyAlignment="1">
      <alignment horizontal="center" vertical="center"/>
    </xf>
    <xf numFmtId="49" fontId="33" fillId="0" borderId="0" xfId="0" applyNumberFormat="1" applyFont="1" applyFill="1" applyBorder="1" applyAlignment="1">
      <alignment horizontal="left" vertical="center" wrapText="1"/>
    </xf>
    <xf numFmtId="0" fontId="34" fillId="0" borderId="0" xfId="0" applyFont="1" applyFill="1" applyAlignment="1">
      <alignment horizontal="justify" wrapText="1"/>
    </xf>
    <xf numFmtId="0" fontId="23" fillId="0" borderId="0" xfId="0" applyFont="1" applyBorder="1" applyAlignment="1">
      <alignment horizontal="center" vertical="center" wrapText="1"/>
    </xf>
    <xf numFmtId="0" fontId="63" fillId="0" borderId="0" xfId="0" applyFont="1" applyAlignment="1">
      <alignment horizontal="center" vertical="center" wrapText="1"/>
    </xf>
    <xf numFmtId="0" fontId="9"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052;&#1086;&#1080;%20&#1076;&#1086;&#1082;&#1091;&#1084;&#1077;&#1085;&#1090;&#1099;\&#1048;&#1088;&#1086;&#1076;&#1086;&#1074;&#1072;%20&#1051;.&#1043;\&#1052;&#1091;&#1085;&#1080;&#1094;&#1080;&#1087;&#1072;&#1083;&#1100;&#1085;&#1099;&#1077;%20&#1087;&#1088;&#1086;&#1075;&#1088;&#1072;&#1084;&#1084;&#1099;\&#1048;&#1079;&#1084;&#1077;&#1085;&#1077;&#1085;&#1080;&#1103;%20&#1085;&#1072;%20&#1086;&#1089;&#1085;&#1086;&#1074;&#1072;&#1085;&#1080;&#1103;%20&#1088;&#1077;&#1096;&#1077;&#1085;&#1080;&#1103;%20&#1044;&#1091;&#1084;&#1099;%20&#1086;&#1090;25.02.15%20&#8470;499\&#1044;&#1091;&#1084;&#1072;%20&#1086;&#1090;%20&#1092;&#1077;&#1074;&#1088;&#1072;&#1083;&#1103;\&#1055;&#1088;&#1080;&#1083;&#1086;&#1078;&#1077;&#1085;&#1080;&#1103;%20&#1082;%20&#1087;&#1088;&#1086;&#1075;&#1088;&#1072;&#1084;&#1084;&#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s>
    <sheetDataSet>
      <sheetData sheetId="4">
        <row r="63">
          <cell r="F63" t="str">
            <v>Развитие транспортной системы (организация транспортного обслуживания населения, развитие дорожного хозяйства)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F1">
      <selection activeCell="W11" sqref="W11"/>
    </sheetView>
  </sheetViews>
  <sheetFormatPr defaultColWidth="9.140625" defaultRowHeight="15"/>
  <cols>
    <col min="1" max="5" width="3.28125" style="0" hidden="1" customWidth="1"/>
    <col min="6" max="6" width="31.8515625" style="0" customWidth="1"/>
    <col min="7" max="7" width="13.421875" style="0" customWidth="1"/>
    <col min="8" max="8" width="5.421875" style="0" customWidth="1"/>
    <col min="9" max="10" width="4.00390625" style="0" customWidth="1"/>
    <col min="11" max="11" width="6.421875" style="0" customWidth="1"/>
    <col min="12" max="12" width="4.57421875" style="0" customWidth="1"/>
    <col min="13" max="13" width="9.00390625" style="0" customWidth="1"/>
    <col min="14" max="14" width="9.421875" style="0" customWidth="1"/>
    <col min="15" max="15" width="14.28125" style="0" customWidth="1"/>
    <col min="16" max="16" width="9.57421875" style="0" customWidth="1"/>
    <col min="17" max="17" width="18.421875" style="0" customWidth="1"/>
  </cols>
  <sheetData>
    <row r="1" spans="1:18" ht="87" customHeight="1">
      <c r="A1" s="2"/>
      <c r="B1" s="2"/>
      <c r="C1" s="2"/>
      <c r="D1" s="2"/>
      <c r="E1" s="2"/>
      <c r="F1" s="2"/>
      <c r="G1" s="2"/>
      <c r="H1" s="2"/>
      <c r="I1" s="2"/>
      <c r="J1" s="2"/>
      <c r="K1" s="2"/>
      <c r="L1" s="2"/>
      <c r="M1" s="2"/>
      <c r="O1" s="271" t="s">
        <v>166</v>
      </c>
      <c r="P1" s="272"/>
      <c r="Q1" s="272"/>
      <c r="R1" s="19"/>
    </row>
    <row r="2" spans="1:18" ht="47.25" customHeight="1">
      <c r="A2" s="2"/>
      <c r="B2" s="2"/>
      <c r="C2" s="2"/>
      <c r="D2" s="2"/>
      <c r="E2" s="2"/>
      <c r="F2" s="2"/>
      <c r="G2" s="2"/>
      <c r="H2" s="2"/>
      <c r="I2" s="2"/>
      <c r="J2" s="2"/>
      <c r="K2" s="2"/>
      <c r="L2" s="2"/>
      <c r="M2" s="2"/>
      <c r="O2" s="273" t="s">
        <v>522</v>
      </c>
      <c r="P2" s="274"/>
      <c r="Q2" s="274"/>
      <c r="R2" s="274"/>
    </row>
    <row r="3" spans="1:18" ht="18" customHeight="1">
      <c r="A3" s="2"/>
      <c r="B3" s="2"/>
      <c r="C3" s="2"/>
      <c r="D3" s="2"/>
      <c r="E3" s="2"/>
      <c r="F3" s="2"/>
      <c r="G3" s="2"/>
      <c r="H3" s="2"/>
      <c r="I3" s="2"/>
      <c r="J3" s="2"/>
      <c r="K3" s="2"/>
      <c r="L3" s="2"/>
      <c r="M3" s="2"/>
      <c r="O3" s="16"/>
      <c r="P3" s="16"/>
      <c r="Q3" s="20" t="s">
        <v>263</v>
      </c>
      <c r="R3" s="20"/>
    </row>
    <row r="4" spans="1:18" ht="18" customHeight="1">
      <c r="A4" s="2"/>
      <c r="B4" s="2"/>
      <c r="C4" s="2"/>
      <c r="D4" s="2"/>
      <c r="E4" s="2"/>
      <c r="F4" s="2"/>
      <c r="G4" s="2"/>
      <c r="H4" s="2"/>
      <c r="I4" s="2"/>
      <c r="J4" s="2"/>
      <c r="K4" s="2"/>
      <c r="L4" s="2"/>
      <c r="M4" s="2"/>
      <c r="O4" s="275" t="s">
        <v>281</v>
      </c>
      <c r="P4" s="276"/>
      <c r="Q4" s="276"/>
      <c r="R4" s="276"/>
    </row>
    <row r="5" spans="1:17" ht="52.5" customHeight="1">
      <c r="A5" s="2"/>
      <c r="B5" s="2"/>
      <c r="C5" s="2"/>
      <c r="D5" s="2"/>
      <c r="E5" s="2"/>
      <c r="F5" s="2"/>
      <c r="G5" s="2"/>
      <c r="H5" s="2"/>
      <c r="I5" s="2"/>
      <c r="J5" s="2"/>
      <c r="K5" s="2"/>
      <c r="L5" s="2"/>
      <c r="M5" s="2"/>
      <c r="N5" s="58"/>
      <c r="O5" s="58"/>
      <c r="P5" s="2"/>
      <c r="Q5" s="2"/>
    </row>
    <row r="6" spans="1:17" ht="17.25" customHeight="1">
      <c r="A6" s="277" t="s">
        <v>466</v>
      </c>
      <c r="B6" s="277"/>
      <c r="C6" s="277"/>
      <c r="D6" s="277"/>
      <c r="E6" s="277"/>
      <c r="F6" s="277"/>
      <c r="G6" s="277"/>
      <c r="H6" s="277"/>
      <c r="I6" s="277"/>
      <c r="J6" s="277"/>
      <c r="K6" s="277"/>
      <c r="L6" s="277"/>
      <c r="M6" s="277"/>
      <c r="N6" s="277"/>
      <c r="O6" s="277"/>
      <c r="P6" s="277"/>
      <c r="Q6" s="277"/>
    </row>
    <row r="7" spans="1:17" ht="17.25" customHeight="1">
      <c r="A7" s="277" t="s">
        <v>320</v>
      </c>
      <c r="B7" s="278"/>
      <c r="C7" s="278"/>
      <c r="D7" s="278"/>
      <c r="E7" s="278"/>
      <c r="F7" s="278"/>
      <c r="G7" s="278"/>
      <c r="H7" s="278"/>
      <c r="I7" s="278"/>
      <c r="J7" s="278"/>
      <c r="K7" s="278"/>
      <c r="L7" s="278"/>
      <c r="M7" s="278"/>
      <c r="N7" s="278"/>
      <c r="O7" s="278"/>
      <c r="P7" s="278"/>
      <c r="Q7" s="278"/>
    </row>
    <row r="8" spans="1:17" ht="13.5" customHeight="1">
      <c r="A8" s="57"/>
      <c r="B8" s="57"/>
      <c r="C8" s="57"/>
      <c r="D8" s="57"/>
      <c r="E8" s="57"/>
      <c r="F8" s="57"/>
      <c r="G8" s="57"/>
      <c r="H8" s="57"/>
      <c r="I8" s="57"/>
      <c r="J8" s="57"/>
      <c r="K8" s="57"/>
      <c r="L8" s="57"/>
      <c r="M8" s="57"/>
      <c r="N8" s="57"/>
      <c r="O8" s="57"/>
      <c r="P8" s="57"/>
      <c r="Q8" s="57"/>
    </row>
  </sheetData>
  <sheetProtection/>
  <mergeCells count="5">
    <mergeCell ref="O1:Q1"/>
    <mergeCell ref="O2:R2"/>
    <mergeCell ref="O4:R4"/>
    <mergeCell ref="A6:Q6"/>
    <mergeCell ref="A7:Q7"/>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86"/>
  <sheetViews>
    <sheetView zoomScalePageLayoutView="0" workbookViewId="0" topLeftCell="A66">
      <selection activeCell="O73" sqref="O73"/>
    </sheetView>
  </sheetViews>
  <sheetFormatPr defaultColWidth="9.140625" defaultRowHeight="15"/>
  <cols>
    <col min="1" max="1" width="4.00390625" style="6" customWidth="1"/>
    <col min="2" max="2" width="3.28125" style="6" customWidth="1"/>
    <col min="3" max="3" width="3.57421875" style="0" customWidth="1"/>
    <col min="4" max="4" width="3.140625" style="0" customWidth="1"/>
    <col min="5" max="5" width="3.00390625" style="0" customWidth="1"/>
    <col min="6" max="6" width="37.28125" style="0" customWidth="1"/>
    <col min="7" max="7" width="18.8515625" style="0" customWidth="1"/>
    <col min="8" max="8" width="6.140625" style="0" customWidth="1"/>
    <col min="9" max="10" width="4.140625" style="0" customWidth="1"/>
    <col min="11" max="11" width="11.421875" style="0" customWidth="1"/>
    <col min="12" max="12" width="6.28125" style="0" customWidth="1"/>
    <col min="13" max="13" width="13.421875" style="0" customWidth="1"/>
    <col min="14" max="14" width="13.57421875" style="0" customWidth="1"/>
    <col min="15" max="15" width="15.28125" style="0" customWidth="1"/>
    <col min="16" max="16" width="12.00390625" style="0" customWidth="1"/>
    <col min="17" max="17" width="12.8515625" style="0" customWidth="1"/>
  </cols>
  <sheetData>
    <row r="1" spans="1:18" ht="24.75" customHeight="1">
      <c r="A1" s="1"/>
      <c r="B1" s="1"/>
      <c r="C1" s="2"/>
      <c r="D1" s="2"/>
      <c r="E1" s="2"/>
      <c r="F1" s="2"/>
      <c r="G1" s="2"/>
      <c r="H1" s="2"/>
      <c r="I1" s="2"/>
      <c r="J1" s="2"/>
      <c r="K1" s="2"/>
      <c r="L1" s="2"/>
      <c r="M1" s="2"/>
      <c r="O1" s="17"/>
      <c r="P1" s="17"/>
      <c r="Q1" s="17" t="s">
        <v>285</v>
      </c>
      <c r="R1" s="17"/>
    </row>
    <row r="2" spans="1:17" s="18" customFormat="1" ht="35.25" customHeight="1">
      <c r="A2" s="363" t="s">
        <v>321</v>
      </c>
      <c r="B2" s="363"/>
      <c r="C2" s="363"/>
      <c r="D2" s="363"/>
      <c r="E2" s="363"/>
      <c r="F2" s="363"/>
      <c r="G2" s="363"/>
      <c r="H2" s="363"/>
      <c r="I2" s="363"/>
      <c r="J2" s="363"/>
      <c r="K2" s="363"/>
      <c r="L2" s="363"/>
      <c r="M2" s="363"/>
      <c r="N2" s="363"/>
      <c r="O2" s="363"/>
      <c r="P2" s="363"/>
      <c r="Q2" s="363"/>
    </row>
    <row r="3" spans="1:17" s="18" customFormat="1" ht="35.25" customHeight="1">
      <c r="A3" s="273" t="s">
        <v>322</v>
      </c>
      <c r="B3" s="382"/>
      <c r="C3" s="382"/>
      <c r="D3" s="382"/>
      <c r="E3" s="382"/>
      <c r="F3" s="382"/>
      <c r="G3" s="382"/>
      <c r="H3" s="382"/>
      <c r="I3" s="382"/>
      <c r="J3" s="382"/>
      <c r="K3" s="382"/>
      <c r="L3" s="382"/>
      <c r="M3" s="382"/>
      <c r="N3" s="382"/>
      <c r="O3" s="382"/>
      <c r="P3" s="382"/>
      <c r="Q3" s="382"/>
    </row>
    <row r="4" spans="1:17" s="18" customFormat="1" ht="35.25" customHeight="1">
      <c r="A4" s="273" t="s">
        <v>287</v>
      </c>
      <c r="B4" s="382"/>
      <c r="C4" s="382"/>
      <c r="D4" s="382"/>
      <c r="E4" s="382"/>
      <c r="F4" s="382"/>
      <c r="G4" s="382"/>
      <c r="H4" s="382"/>
      <c r="I4" s="382"/>
      <c r="J4" s="382"/>
      <c r="K4" s="382"/>
      <c r="L4" s="382"/>
      <c r="M4" s="382"/>
      <c r="N4" s="382"/>
      <c r="O4" s="382"/>
      <c r="P4" s="382"/>
      <c r="Q4" s="382"/>
    </row>
    <row r="5" spans="1:13" ht="17.25" customHeight="1">
      <c r="A5" s="1"/>
      <c r="B5" s="1"/>
      <c r="C5" s="2"/>
      <c r="D5" s="2"/>
      <c r="E5" s="3"/>
      <c r="F5" s="3"/>
      <c r="G5" s="3"/>
      <c r="H5" s="3"/>
      <c r="I5" s="3"/>
      <c r="J5" s="3"/>
      <c r="K5" s="3"/>
      <c r="L5" s="3"/>
      <c r="M5" s="3"/>
    </row>
    <row r="6" spans="1:17" ht="36.75" customHeight="1">
      <c r="A6" s="365" t="s">
        <v>0</v>
      </c>
      <c r="B6" s="365"/>
      <c r="C6" s="365"/>
      <c r="D6" s="365"/>
      <c r="E6" s="365"/>
      <c r="F6" s="365" t="s">
        <v>1</v>
      </c>
      <c r="G6" s="365" t="s">
        <v>2</v>
      </c>
      <c r="H6" s="365" t="s">
        <v>3</v>
      </c>
      <c r="I6" s="365"/>
      <c r="J6" s="365"/>
      <c r="K6" s="365"/>
      <c r="L6" s="365"/>
      <c r="M6" s="354" t="s">
        <v>4</v>
      </c>
      <c r="N6" s="364"/>
      <c r="O6" s="355"/>
      <c r="P6" s="354" t="s">
        <v>60</v>
      </c>
      <c r="Q6" s="355"/>
    </row>
    <row r="7" spans="1:17" ht="48" customHeight="1">
      <c r="A7" s="21" t="s">
        <v>5</v>
      </c>
      <c r="B7" s="21" t="s">
        <v>6</v>
      </c>
      <c r="C7" s="5" t="s">
        <v>7</v>
      </c>
      <c r="D7" s="5" t="s">
        <v>8</v>
      </c>
      <c r="E7" s="5" t="s">
        <v>9</v>
      </c>
      <c r="F7" s="365"/>
      <c r="G7" s="365"/>
      <c r="H7" s="5" t="s">
        <v>10</v>
      </c>
      <c r="I7" s="5" t="s">
        <v>11</v>
      </c>
      <c r="J7" s="5" t="s">
        <v>12</v>
      </c>
      <c r="K7" s="5" t="s">
        <v>13</v>
      </c>
      <c r="L7" s="5" t="s">
        <v>14</v>
      </c>
      <c r="M7" s="5" t="s">
        <v>323</v>
      </c>
      <c r="N7" s="5" t="s">
        <v>324</v>
      </c>
      <c r="O7" s="5" t="s">
        <v>59</v>
      </c>
      <c r="P7" s="5" t="s">
        <v>61</v>
      </c>
      <c r="Q7" s="5" t="s">
        <v>62</v>
      </c>
    </row>
    <row r="8" spans="1:17" s="14" customFormat="1" ht="20.25" customHeight="1">
      <c r="A8" s="340">
        <v>7</v>
      </c>
      <c r="B8" s="288"/>
      <c r="C8" s="320"/>
      <c r="D8" s="320"/>
      <c r="E8" s="320"/>
      <c r="F8" s="328" t="s">
        <v>15</v>
      </c>
      <c r="G8" s="97" t="s">
        <v>16</v>
      </c>
      <c r="H8" s="5"/>
      <c r="I8" s="5"/>
      <c r="J8" s="5"/>
      <c r="K8" s="5"/>
      <c r="L8" s="5"/>
      <c r="M8" s="40">
        <f>M9+M10+M11</f>
        <v>308228.56259999995</v>
      </c>
      <c r="N8" s="40">
        <f>N9+N10+N11</f>
        <v>452276.60341000004</v>
      </c>
      <c r="O8" s="40">
        <f>O9+O10+O11</f>
        <v>33398.199109999994</v>
      </c>
      <c r="P8" s="169">
        <f>O8/M8</f>
        <v>0.10835530240376237</v>
      </c>
      <c r="Q8" s="169">
        <f>O8/N8</f>
        <v>0.07384463148920328</v>
      </c>
    </row>
    <row r="9" spans="1:17" s="14" customFormat="1" ht="26.25" customHeight="1">
      <c r="A9" s="341"/>
      <c r="B9" s="343"/>
      <c r="C9" s="344"/>
      <c r="D9" s="344"/>
      <c r="E9" s="344"/>
      <c r="F9" s="329"/>
      <c r="G9" s="98" t="s">
        <v>17</v>
      </c>
      <c r="H9" s="5">
        <v>935</v>
      </c>
      <c r="I9" s="5"/>
      <c r="J9" s="5"/>
      <c r="K9" s="5"/>
      <c r="L9" s="5"/>
      <c r="M9" s="41">
        <f>M17+M29+M48+M70+M85</f>
        <v>304430.76259999996</v>
      </c>
      <c r="N9" s="41">
        <f>N17+N29+N48+N70+N85</f>
        <v>445943.99991</v>
      </c>
      <c r="O9" s="41">
        <f>O17+O29+O48+O70+O85</f>
        <v>33398.199109999994</v>
      </c>
      <c r="P9" s="156">
        <f>O9/M9</f>
        <v>0.1097070441395662</v>
      </c>
      <c r="Q9" s="156">
        <f>O9/N9</f>
        <v>0.07489325815963525</v>
      </c>
    </row>
    <row r="10" spans="1:17" s="14" customFormat="1" ht="26.25" customHeight="1">
      <c r="A10" s="304"/>
      <c r="B10" s="304"/>
      <c r="C10" s="304"/>
      <c r="D10" s="304"/>
      <c r="E10" s="304"/>
      <c r="F10" s="324"/>
      <c r="G10" s="23" t="s">
        <v>185</v>
      </c>
      <c r="H10" s="33">
        <v>933</v>
      </c>
      <c r="I10" s="5"/>
      <c r="J10" s="5"/>
      <c r="K10" s="5"/>
      <c r="L10" s="5"/>
      <c r="M10" s="41">
        <f>M12</f>
        <v>2000</v>
      </c>
      <c r="N10" s="41">
        <f>N12</f>
        <v>2476.75</v>
      </c>
      <c r="O10" s="41">
        <f>O12</f>
        <v>0</v>
      </c>
      <c r="P10" s="156">
        <v>0</v>
      </c>
      <c r="Q10" s="156">
        <v>0</v>
      </c>
    </row>
    <row r="11" spans="1:17" s="14" customFormat="1" ht="26.25" customHeight="1">
      <c r="A11" s="342"/>
      <c r="B11" s="342"/>
      <c r="C11" s="342"/>
      <c r="D11" s="342"/>
      <c r="E11" s="342"/>
      <c r="F11" s="325"/>
      <c r="G11" s="23" t="s">
        <v>203</v>
      </c>
      <c r="H11" s="33">
        <v>940</v>
      </c>
      <c r="I11" s="5"/>
      <c r="J11" s="5"/>
      <c r="K11" s="5"/>
      <c r="L11" s="5"/>
      <c r="M11" s="41">
        <f>M71</f>
        <v>1797.8</v>
      </c>
      <c r="N11" s="41">
        <f>N71</f>
        <v>3855.8535</v>
      </c>
      <c r="O11" s="41">
        <f>O71</f>
        <v>0</v>
      </c>
      <c r="P11" s="156">
        <v>0</v>
      </c>
      <c r="Q11" s="156">
        <f>O11/N11</f>
        <v>0</v>
      </c>
    </row>
    <row r="12" spans="1:17" s="14" customFormat="1" ht="26.25" customHeight="1">
      <c r="A12" s="347">
        <v>7</v>
      </c>
      <c r="B12" s="375" t="s">
        <v>19</v>
      </c>
      <c r="C12" s="356"/>
      <c r="D12" s="356"/>
      <c r="E12" s="357"/>
      <c r="F12" s="358" t="s">
        <v>184</v>
      </c>
      <c r="G12" s="30" t="s">
        <v>16</v>
      </c>
      <c r="H12" s="157"/>
      <c r="I12" s="157"/>
      <c r="J12" s="157"/>
      <c r="K12" s="157"/>
      <c r="L12" s="157"/>
      <c r="M12" s="49">
        <f>M14+M15</f>
        <v>2000</v>
      </c>
      <c r="N12" s="49">
        <f>N13</f>
        <v>2476.75</v>
      </c>
      <c r="O12" s="49">
        <f>O14</f>
        <v>0</v>
      </c>
      <c r="P12" s="156">
        <v>0</v>
      </c>
      <c r="Q12" s="156">
        <f>O12/N12</f>
        <v>0</v>
      </c>
    </row>
    <row r="13" spans="1:17" s="14" customFormat="1" ht="26.25" customHeight="1">
      <c r="A13" s="348"/>
      <c r="B13" s="375"/>
      <c r="C13" s="356"/>
      <c r="D13" s="356"/>
      <c r="E13" s="357"/>
      <c r="F13" s="358"/>
      <c r="G13" s="23" t="s">
        <v>185</v>
      </c>
      <c r="H13" s="33">
        <v>933</v>
      </c>
      <c r="I13" s="157"/>
      <c r="J13" s="157"/>
      <c r="K13" s="157"/>
      <c r="L13" s="157"/>
      <c r="M13" s="49">
        <v>0</v>
      </c>
      <c r="N13" s="50">
        <f>N14+N15+N16</f>
        <v>2476.75</v>
      </c>
      <c r="O13" s="49">
        <v>0</v>
      </c>
      <c r="P13" s="156">
        <v>0</v>
      </c>
      <c r="Q13" s="156">
        <v>0</v>
      </c>
    </row>
    <row r="14" spans="1:17" s="14" customFormat="1" ht="22.5" customHeight="1">
      <c r="A14" s="290" t="s">
        <v>18</v>
      </c>
      <c r="B14" s="290" t="s">
        <v>19</v>
      </c>
      <c r="C14" s="290" t="s">
        <v>22</v>
      </c>
      <c r="D14" s="345"/>
      <c r="E14" s="288"/>
      <c r="F14" s="376" t="s">
        <v>325</v>
      </c>
      <c r="G14" s="292" t="s">
        <v>185</v>
      </c>
      <c r="H14" s="321">
        <v>933</v>
      </c>
      <c r="I14" s="290" t="s">
        <v>20</v>
      </c>
      <c r="J14" s="290" t="s">
        <v>38</v>
      </c>
      <c r="K14" s="26" t="s">
        <v>326</v>
      </c>
      <c r="L14" s="290" t="s">
        <v>30</v>
      </c>
      <c r="M14" s="50">
        <v>2000</v>
      </c>
      <c r="N14" s="50">
        <v>2000</v>
      </c>
      <c r="O14" s="50">
        <v>0</v>
      </c>
      <c r="P14" s="156">
        <v>0</v>
      </c>
      <c r="Q14" s="156">
        <v>0</v>
      </c>
    </row>
    <row r="15" spans="1:17" s="14" customFormat="1" ht="20.25" customHeight="1">
      <c r="A15" s="349"/>
      <c r="B15" s="295"/>
      <c r="C15" s="295"/>
      <c r="D15" s="346"/>
      <c r="E15" s="304"/>
      <c r="F15" s="334"/>
      <c r="G15" s="334"/>
      <c r="H15" s="294"/>
      <c r="I15" s="294"/>
      <c r="J15" s="294"/>
      <c r="K15" s="33" t="s">
        <v>327</v>
      </c>
      <c r="L15" s="294"/>
      <c r="M15" s="50">
        <v>0</v>
      </c>
      <c r="N15" s="50">
        <v>2</v>
      </c>
      <c r="O15" s="49">
        <v>0</v>
      </c>
      <c r="P15" s="156">
        <v>0</v>
      </c>
      <c r="Q15" s="156">
        <v>0</v>
      </c>
    </row>
    <row r="16" spans="1:17" s="14" customFormat="1" ht="59.25" customHeight="1">
      <c r="A16" s="21" t="s">
        <v>18</v>
      </c>
      <c r="B16" s="21" t="s">
        <v>19</v>
      </c>
      <c r="C16" s="21" t="s">
        <v>25</v>
      </c>
      <c r="D16" s="21"/>
      <c r="E16" s="21"/>
      <c r="F16" s="65" t="s">
        <v>328</v>
      </c>
      <c r="G16" s="32" t="s">
        <v>185</v>
      </c>
      <c r="H16" s="33">
        <v>933</v>
      </c>
      <c r="I16" s="26" t="s">
        <v>20</v>
      </c>
      <c r="J16" s="33">
        <v>13</v>
      </c>
      <c r="K16" s="26" t="s">
        <v>329</v>
      </c>
      <c r="L16" s="33">
        <v>244</v>
      </c>
      <c r="M16" s="50">
        <v>0</v>
      </c>
      <c r="N16" s="50">
        <v>474.75</v>
      </c>
      <c r="O16" s="50">
        <v>0</v>
      </c>
      <c r="P16" s="156">
        <v>0</v>
      </c>
      <c r="Q16" s="156">
        <v>0</v>
      </c>
    </row>
    <row r="17" spans="1:17" s="14" customFormat="1" ht="15">
      <c r="A17" s="327" t="s">
        <v>18</v>
      </c>
      <c r="B17" s="327" t="s">
        <v>23</v>
      </c>
      <c r="C17" s="327"/>
      <c r="D17" s="327"/>
      <c r="E17" s="327"/>
      <c r="F17" s="359" t="s">
        <v>24</v>
      </c>
      <c r="G17" s="359" t="s">
        <v>16</v>
      </c>
      <c r="H17" s="350"/>
      <c r="I17" s="350"/>
      <c r="J17" s="350"/>
      <c r="K17" s="350"/>
      <c r="L17" s="350"/>
      <c r="M17" s="352">
        <f>SUM(M19:M28)</f>
        <v>138876.8626</v>
      </c>
      <c r="N17" s="352">
        <f>SUM(N19:N28)</f>
        <v>155901.0626</v>
      </c>
      <c r="O17" s="352">
        <f>SUM(O19:O28)</f>
        <v>2559.95015</v>
      </c>
      <c r="P17" s="361">
        <f>O17/M17</f>
        <v>0.018433237200737283</v>
      </c>
      <c r="Q17" s="361">
        <f>O17/N17</f>
        <v>0.016420350877069646</v>
      </c>
    </row>
    <row r="18" spans="1:17" s="14" customFormat="1" ht="21.75" customHeight="1">
      <c r="A18" s="327"/>
      <c r="B18" s="327"/>
      <c r="C18" s="327"/>
      <c r="D18" s="327"/>
      <c r="E18" s="327"/>
      <c r="F18" s="359"/>
      <c r="G18" s="360"/>
      <c r="H18" s="351"/>
      <c r="I18" s="351"/>
      <c r="J18" s="351"/>
      <c r="K18" s="351"/>
      <c r="L18" s="351"/>
      <c r="M18" s="353"/>
      <c r="N18" s="353"/>
      <c r="O18" s="353"/>
      <c r="P18" s="362"/>
      <c r="Q18" s="362"/>
    </row>
    <row r="19" spans="1:17" s="14" customFormat="1" ht="26.25" customHeight="1">
      <c r="A19" s="290" t="s">
        <v>18</v>
      </c>
      <c r="B19" s="290" t="s">
        <v>23</v>
      </c>
      <c r="C19" s="290" t="s">
        <v>20</v>
      </c>
      <c r="D19" s="307" t="s">
        <v>56</v>
      </c>
      <c r="E19" s="373"/>
      <c r="F19" s="292" t="s">
        <v>346</v>
      </c>
      <c r="G19" s="320" t="s">
        <v>17</v>
      </c>
      <c r="H19" s="290">
        <v>935</v>
      </c>
      <c r="I19" s="290" t="s">
        <v>29</v>
      </c>
      <c r="J19" s="290" t="s">
        <v>20</v>
      </c>
      <c r="K19" s="25" t="s">
        <v>347</v>
      </c>
      <c r="L19" s="26" t="s">
        <v>30</v>
      </c>
      <c r="M19" s="175">
        <v>0</v>
      </c>
      <c r="N19" s="175">
        <v>620</v>
      </c>
      <c r="O19" s="175">
        <v>0</v>
      </c>
      <c r="P19" s="156">
        <v>0</v>
      </c>
      <c r="Q19" s="156">
        <f aca="true" t="shared" si="0" ref="Q19:Q28">O19/N19</f>
        <v>0</v>
      </c>
    </row>
    <row r="20" spans="1:17" s="14" customFormat="1" ht="27.75" customHeight="1">
      <c r="A20" s="295"/>
      <c r="B20" s="295"/>
      <c r="C20" s="295"/>
      <c r="D20" s="295"/>
      <c r="E20" s="295"/>
      <c r="F20" s="374"/>
      <c r="G20" s="304"/>
      <c r="H20" s="295"/>
      <c r="I20" s="295"/>
      <c r="J20" s="295"/>
      <c r="K20" s="25" t="s">
        <v>347</v>
      </c>
      <c r="L20" s="176" t="s">
        <v>348</v>
      </c>
      <c r="M20" s="175">
        <v>0</v>
      </c>
      <c r="N20" s="175">
        <f>380+8633</f>
        <v>9013</v>
      </c>
      <c r="O20" s="175">
        <v>0</v>
      </c>
      <c r="P20" s="156">
        <v>0</v>
      </c>
      <c r="Q20" s="156">
        <f t="shared" si="0"/>
        <v>0</v>
      </c>
    </row>
    <row r="21" spans="1:17" s="14" customFormat="1" ht="46.5" customHeight="1">
      <c r="A21" s="35" t="s">
        <v>18</v>
      </c>
      <c r="B21" s="35" t="s">
        <v>23</v>
      </c>
      <c r="C21" s="35" t="s">
        <v>43</v>
      </c>
      <c r="D21" s="35"/>
      <c r="E21" s="35"/>
      <c r="F21" s="24" t="s">
        <v>32</v>
      </c>
      <c r="G21" s="36" t="s">
        <v>17</v>
      </c>
      <c r="H21" s="174">
        <v>935</v>
      </c>
      <c r="I21" s="25" t="s">
        <v>29</v>
      </c>
      <c r="J21" s="25" t="s">
        <v>20</v>
      </c>
      <c r="K21" s="26" t="s">
        <v>349</v>
      </c>
      <c r="L21" s="37">
        <v>244</v>
      </c>
      <c r="M21" s="177">
        <f>4038.1+114.1626</f>
        <v>4152.2626</v>
      </c>
      <c r="N21" s="177">
        <f>3863.1+64.1626</f>
        <v>3927.2626</v>
      </c>
      <c r="O21" s="177">
        <f>447.89896+0.94152</f>
        <v>448.84048</v>
      </c>
      <c r="P21" s="156">
        <f aca="true" t="shared" si="1" ref="P21:P30">O21/M21</f>
        <v>0.10809539839797223</v>
      </c>
      <c r="Q21" s="156">
        <f t="shared" si="0"/>
        <v>0.11428837990105373</v>
      </c>
    </row>
    <row r="22" spans="1:17" s="14" customFormat="1" ht="24.75" customHeight="1">
      <c r="A22" s="25" t="s">
        <v>18</v>
      </c>
      <c r="B22" s="25" t="s">
        <v>23</v>
      </c>
      <c r="C22" s="25" t="s">
        <v>33</v>
      </c>
      <c r="D22" s="88"/>
      <c r="E22" s="88"/>
      <c r="F22" s="24" t="s">
        <v>34</v>
      </c>
      <c r="G22" s="38" t="s">
        <v>17</v>
      </c>
      <c r="H22" s="25">
        <v>935</v>
      </c>
      <c r="I22" s="25" t="s">
        <v>29</v>
      </c>
      <c r="J22" s="25" t="s">
        <v>20</v>
      </c>
      <c r="K22" s="25" t="s">
        <v>350</v>
      </c>
      <c r="L22" s="26" t="s">
        <v>30</v>
      </c>
      <c r="M22" s="159">
        <f>1095.5+1401.8+100</f>
        <v>2597.3</v>
      </c>
      <c r="N22" s="159">
        <f>995.5+1401.8+50</f>
        <v>2447.3</v>
      </c>
      <c r="O22" s="178">
        <f>37.67845+4.96</f>
        <v>42.63845</v>
      </c>
      <c r="P22" s="156">
        <f t="shared" si="1"/>
        <v>0.01641645169984214</v>
      </c>
      <c r="Q22" s="156">
        <f t="shared" si="0"/>
        <v>0.017422649450414742</v>
      </c>
    </row>
    <row r="23" spans="1:17" s="14" customFormat="1" ht="24.75" customHeight="1">
      <c r="A23" s="35" t="s">
        <v>18</v>
      </c>
      <c r="B23" s="35" t="s">
        <v>23</v>
      </c>
      <c r="C23" s="35" t="s">
        <v>35</v>
      </c>
      <c r="D23" s="88"/>
      <c r="E23" s="88"/>
      <c r="F23" s="24" t="s">
        <v>36</v>
      </c>
      <c r="G23" s="38" t="s">
        <v>17</v>
      </c>
      <c r="H23" s="25" t="s">
        <v>28</v>
      </c>
      <c r="I23" s="25" t="s">
        <v>29</v>
      </c>
      <c r="J23" s="25" t="s">
        <v>29</v>
      </c>
      <c r="K23" s="26" t="s">
        <v>353</v>
      </c>
      <c r="L23" s="176" t="s">
        <v>37</v>
      </c>
      <c r="M23" s="39">
        <f>625.5+188.9</f>
        <v>814.4</v>
      </c>
      <c r="N23" s="39">
        <f>623.9+1.6+188.9</f>
        <v>814.4</v>
      </c>
      <c r="O23" s="39">
        <f>291.151+1.552+74.91222</f>
        <v>367.61522</v>
      </c>
      <c r="P23" s="156">
        <f t="shared" si="1"/>
        <v>0.4513939341846759</v>
      </c>
      <c r="Q23" s="156">
        <f t="shared" si="0"/>
        <v>0.4513939341846759</v>
      </c>
    </row>
    <row r="24" spans="1:17" s="14" customFormat="1" ht="53.25" customHeight="1">
      <c r="A24" s="35" t="s">
        <v>18</v>
      </c>
      <c r="B24" s="35" t="s">
        <v>23</v>
      </c>
      <c r="C24" s="35" t="s">
        <v>38</v>
      </c>
      <c r="D24" s="35"/>
      <c r="E24" s="35"/>
      <c r="F24" s="24" t="s">
        <v>39</v>
      </c>
      <c r="G24" s="36" t="s">
        <v>17</v>
      </c>
      <c r="H24" s="174">
        <v>935</v>
      </c>
      <c r="I24" s="25" t="s">
        <v>29</v>
      </c>
      <c r="J24" s="35" t="s">
        <v>20</v>
      </c>
      <c r="K24" s="26" t="s">
        <v>351</v>
      </c>
      <c r="L24" s="26" t="s">
        <v>30</v>
      </c>
      <c r="M24" s="177">
        <v>20</v>
      </c>
      <c r="N24" s="177">
        <v>20</v>
      </c>
      <c r="O24" s="177">
        <v>0</v>
      </c>
      <c r="P24" s="156">
        <f t="shared" si="1"/>
        <v>0</v>
      </c>
      <c r="Q24" s="156">
        <f t="shared" si="0"/>
        <v>0</v>
      </c>
    </row>
    <row r="25" spans="1:17" s="14" customFormat="1" ht="46.5" customHeight="1">
      <c r="A25" s="25" t="s">
        <v>18</v>
      </c>
      <c r="B25" s="25" t="s">
        <v>23</v>
      </c>
      <c r="C25" s="25" t="s">
        <v>40</v>
      </c>
      <c r="D25" s="25" t="s">
        <v>23</v>
      </c>
      <c r="E25" s="25"/>
      <c r="F25" s="24" t="s">
        <v>41</v>
      </c>
      <c r="G25" s="38" t="s">
        <v>17</v>
      </c>
      <c r="H25" s="155">
        <v>935</v>
      </c>
      <c r="I25" s="25" t="s">
        <v>29</v>
      </c>
      <c r="J25" s="25" t="s">
        <v>20</v>
      </c>
      <c r="K25" s="26" t="s">
        <v>352</v>
      </c>
      <c r="L25" s="26" t="s">
        <v>30</v>
      </c>
      <c r="M25" s="179">
        <v>400</v>
      </c>
      <c r="N25" s="179">
        <v>400</v>
      </c>
      <c r="O25" s="179">
        <v>160.856</v>
      </c>
      <c r="P25" s="156">
        <f>O25/M25</f>
        <v>0.40214</v>
      </c>
      <c r="Q25" s="156">
        <f t="shared" si="0"/>
        <v>0.40214</v>
      </c>
    </row>
    <row r="26" spans="1:17" s="14" customFormat="1" ht="23.25" customHeight="1">
      <c r="A26" s="313" t="s">
        <v>18</v>
      </c>
      <c r="B26" s="313" t="s">
        <v>23</v>
      </c>
      <c r="C26" s="313" t="s">
        <v>22</v>
      </c>
      <c r="D26" s="290"/>
      <c r="E26" s="290"/>
      <c r="F26" s="292" t="s">
        <v>157</v>
      </c>
      <c r="G26" s="320" t="s">
        <v>17</v>
      </c>
      <c r="H26" s="321">
        <v>935</v>
      </c>
      <c r="I26" s="290" t="s">
        <v>29</v>
      </c>
      <c r="J26" s="290" t="s">
        <v>20</v>
      </c>
      <c r="K26" s="26" t="s">
        <v>278</v>
      </c>
      <c r="L26" s="290" t="s">
        <v>202</v>
      </c>
      <c r="M26" s="179">
        <v>125718.9</v>
      </c>
      <c r="N26" s="179">
        <v>133252.062</v>
      </c>
      <c r="O26" s="179">
        <v>1478.862</v>
      </c>
      <c r="P26" s="156">
        <v>0</v>
      </c>
      <c r="Q26" s="156">
        <f t="shared" si="0"/>
        <v>0.011098229759476443</v>
      </c>
    </row>
    <row r="27" spans="1:17" s="14" customFormat="1" ht="23.25" customHeight="1">
      <c r="A27" s="296"/>
      <c r="B27" s="296"/>
      <c r="C27" s="296"/>
      <c r="D27" s="296"/>
      <c r="E27" s="296"/>
      <c r="F27" s="299"/>
      <c r="G27" s="316"/>
      <c r="H27" s="295"/>
      <c r="I27" s="295"/>
      <c r="J27" s="295"/>
      <c r="K27" s="26" t="s">
        <v>279</v>
      </c>
      <c r="L27" s="295"/>
      <c r="M27" s="179">
        <v>3888.2</v>
      </c>
      <c r="N27" s="179">
        <v>4121.238</v>
      </c>
      <c r="O27" s="179">
        <v>45.738</v>
      </c>
      <c r="P27" s="156">
        <v>0</v>
      </c>
      <c r="Q27" s="156">
        <f t="shared" si="0"/>
        <v>0.011098121486795957</v>
      </c>
    </row>
    <row r="28" spans="1:17" s="14" customFormat="1" ht="21" customHeight="1">
      <c r="A28" s="289"/>
      <c r="B28" s="289"/>
      <c r="C28" s="289"/>
      <c r="D28" s="289"/>
      <c r="E28" s="289"/>
      <c r="F28" s="293"/>
      <c r="G28" s="317"/>
      <c r="H28" s="294"/>
      <c r="I28" s="294"/>
      <c r="J28" s="294"/>
      <c r="K28" s="26" t="s">
        <v>280</v>
      </c>
      <c r="L28" s="294"/>
      <c r="M28" s="179">
        <v>1285.8</v>
      </c>
      <c r="N28" s="179">
        <v>1285.8</v>
      </c>
      <c r="O28" s="179">
        <v>15.4</v>
      </c>
      <c r="P28" s="156">
        <v>0</v>
      </c>
      <c r="Q28" s="156">
        <f t="shared" si="0"/>
        <v>0.011976979312490279</v>
      </c>
    </row>
    <row r="29" spans="1:17" s="14" customFormat="1" ht="15">
      <c r="A29" s="327" t="s">
        <v>18</v>
      </c>
      <c r="B29" s="327" t="s">
        <v>26</v>
      </c>
      <c r="C29" s="327"/>
      <c r="D29" s="327"/>
      <c r="E29" s="327"/>
      <c r="F29" s="359" t="s">
        <v>42</v>
      </c>
      <c r="G29" s="42" t="s">
        <v>16</v>
      </c>
      <c r="H29" s="22"/>
      <c r="I29" s="22"/>
      <c r="J29" s="22"/>
      <c r="K29" s="22"/>
      <c r="L29" s="22"/>
      <c r="M29" s="185">
        <f>SUM(M31:M47)</f>
        <v>11351.7</v>
      </c>
      <c r="N29" s="185">
        <f>SUM(N31:N47)</f>
        <v>36703.57645</v>
      </c>
      <c r="O29" s="185">
        <f>SUM(O31:O47)</f>
        <v>3676.2674799999995</v>
      </c>
      <c r="P29" s="169">
        <f t="shared" si="1"/>
        <v>0.32385171207836705</v>
      </c>
      <c r="Q29" s="169">
        <f aca="true" t="shared" si="2" ref="Q29:Q45">O29/N29</f>
        <v>0.10016101523534227</v>
      </c>
    </row>
    <row r="30" spans="1:17" s="14" customFormat="1" ht="33.75">
      <c r="A30" s="327"/>
      <c r="B30" s="327"/>
      <c r="C30" s="327"/>
      <c r="D30" s="327"/>
      <c r="E30" s="327"/>
      <c r="F30" s="359"/>
      <c r="G30" s="43" t="s">
        <v>17</v>
      </c>
      <c r="H30" s="180"/>
      <c r="I30" s="180"/>
      <c r="J30" s="180"/>
      <c r="K30" s="90"/>
      <c r="L30" s="180"/>
      <c r="M30" s="159">
        <f>M29</f>
        <v>11351.7</v>
      </c>
      <c r="N30" s="159">
        <f>N29</f>
        <v>36703.57645</v>
      </c>
      <c r="O30" s="159">
        <f>O29</f>
        <v>3676.2674799999995</v>
      </c>
      <c r="P30" s="156">
        <f t="shared" si="1"/>
        <v>0.32385171207836705</v>
      </c>
      <c r="Q30" s="156">
        <f t="shared" si="2"/>
        <v>0.10016101523534227</v>
      </c>
    </row>
    <row r="31" spans="1:17" s="14" customFormat="1" ht="15" customHeight="1">
      <c r="A31" s="279" t="s">
        <v>18</v>
      </c>
      <c r="B31" s="279" t="s">
        <v>26</v>
      </c>
      <c r="C31" s="279" t="s">
        <v>43</v>
      </c>
      <c r="D31" s="281"/>
      <c r="E31" s="282"/>
      <c r="F31" s="284" t="s">
        <v>354</v>
      </c>
      <c r="G31" s="314" t="s">
        <v>17</v>
      </c>
      <c r="H31" s="318">
        <v>935</v>
      </c>
      <c r="I31" s="308" t="s">
        <v>29</v>
      </c>
      <c r="J31" s="308" t="s">
        <v>22</v>
      </c>
      <c r="K31" s="26" t="s">
        <v>355</v>
      </c>
      <c r="L31" s="302">
        <v>414</v>
      </c>
      <c r="M31" s="159">
        <v>0</v>
      </c>
      <c r="N31" s="159">
        <v>12</v>
      </c>
      <c r="O31" s="158">
        <v>11.97939</v>
      </c>
      <c r="P31" s="156">
        <v>0</v>
      </c>
      <c r="Q31" s="156">
        <f>O31/N31</f>
        <v>0.9982825000000001</v>
      </c>
    </row>
    <row r="32" spans="1:17" s="14" customFormat="1" ht="15" customHeight="1">
      <c r="A32" s="279"/>
      <c r="B32" s="279"/>
      <c r="C32" s="279"/>
      <c r="D32" s="281"/>
      <c r="E32" s="282"/>
      <c r="F32" s="285"/>
      <c r="G32" s="315"/>
      <c r="H32" s="319"/>
      <c r="I32" s="309"/>
      <c r="J32" s="309"/>
      <c r="K32" s="25" t="s">
        <v>372</v>
      </c>
      <c r="L32" s="303"/>
      <c r="M32" s="160">
        <v>5.7</v>
      </c>
      <c r="N32" s="159">
        <v>0</v>
      </c>
      <c r="O32" s="158">
        <v>0</v>
      </c>
      <c r="P32" s="156">
        <v>0</v>
      </c>
      <c r="Q32" s="156">
        <v>0</v>
      </c>
    </row>
    <row r="33" spans="1:17" s="14" customFormat="1" ht="15">
      <c r="A33" s="280"/>
      <c r="B33" s="280"/>
      <c r="C33" s="280"/>
      <c r="D33" s="280"/>
      <c r="E33" s="283"/>
      <c r="F33" s="286"/>
      <c r="G33" s="316"/>
      <c r="H33" s="296"/>
      <c r="I33" s="296"/>
      <c r="J33" s="296"/>
      <c r="K33" s="25" t="s">
        <v>282</v>
      </c>
      <c r="L33" s="316"/>
      <c r="M33" s="160">
        <v>0</v>
      </c>
      <c r="N33" s="159">
        <f>119.053+4116.077+0.128</f>
        <v>4235.258</v>
      </c>
      <c r="O33" s="158">
        <f>119.053+3291.077</f>
        <v>3410.13</v>
      </c>
      <c r="P33" s="156">
        <v>0</v>
      </c>
      <c r="Q33" s="156">
        <f>O33/N33</f>
        <v>0.8051764496991684</v>
      </c>
    </row>
    <row r="34" spans="1:17" s="14" customFormat="1" ht="15">
      <c r="A34" s="280"/>
      <c r="B34" s="280"/>
      <c r="C34" s="280"/>
      <c r="D34" s="280"/>
      <c r="E34" s="283"/>
      <c r="F34" s="287"/>
      <c r="G34" s="317"/>
      <c r="H34" s="289"/>
      <c r="I34" s="289"/>
      <c r="J34" s="289"/>
      <c r="K34" s="25" t="s">
        <v>371</v>
      </c>
      <c r="L34" s="317"/>
      <c r="M34" s="160">
        <v>0</v>
      </c>
      <c r="N34" s="159">
        <f>0.20589+0.41156</f>
        <v>0.6174499999999999</v>
      </c>
      <c r="O34" s="158">
        <f>0.329+0.01191</f>
        <v>0.34091</v>
      </c>
      <c r="P34" s="156">
        <v>0</v>
      </c>
      <c r="Q34" s="156">
        <f>O34/N34</f>
        <v>0.5521256781925662</v>
      </c>
    </row>
    <row r="35" spans="1:17" s="14" customFormat="1" ht="36" customHeight="1">
      <c r="A35" s="184" t="s">
        <v>18</v>
      </c>
      <c r="B35" s="184" t="s">
        <v>26</v>
      </c>
      <c r="C35" s="101" t="s">
        <v>25</v>
      </c>
      <c r="D35" s="170"/>
      <c r="E35" s="170"/>
      <c r="F35" s="92" t="s">
        <v>212</v>
      </c>
      <c r="G35" s="75" t="s">
        <v>17</v>
      </c>
      <c r="H35" s="180">
        <v>935</v>
      </c>
      <c r="I35" s="90" t="s">
        <v>29</v>
      </c>
      <c r="J35" s="90" t="s">
        <v>22</v>
      </c>
      <c r="K35" s="25" t="s">
        <v>356</v>
      </c>
      <c r="L35" s="173">
        <v>244</v>
      </c>
      <c r="M35" s="160">
        <v>590</v>
      </c>
      <c r="N35" s="159">
        <f>590+60</f>
        <v>650</v>
      </c>
      <c r="O35" s="158">
        <v>74.18918</v>
      </c>
      <c r="P35" s="156">
        <f>O35/M35</f>
        <v>0.12574437288135593</v>
      </c>
      <c r="Q35" s="156">
        <f t="shared" si="2"/>
        <v>0.1141372</v>
      </c>
    </row>
    <row r="36" spans="1:17" s="14" customFormat="1" ht="20.25" customHeight="1">
      <c r="A36" s="305" t="s">
        <v>18</v>
      </c>
      <c r="B36" s="305" t="s">
        <v>26</v>
      </c>
      <c r="C36" s="307" t="s">
        <v>18</v>
      </c>
      <c r="D36" s="297"/>
      <c r="E36" s="297"/>
      <c r="F36" s="322" t="s">
        <v>86</v>
      </c>
      <c r="G36" s="311" t="s">
        <v>17</v>
      </c>
      <c r="H36" s="318">
        <v>935</v>
      </c>
      <c r="I36" s="308" t="s">
        <v>29</v>
      </c>
      <c r="J36" s="308" t="s">
        <v>22</v>
      </c>
      <c r="K36" s="25" t="s">
        <v>357</v>
      </c>
      <c r="L36" s="302">
        <v>243</v>
      </c>
      <c r="M36" s="160">
        <v>3875</v>
      </c>
      <c r="N36" s="159">
        <f>3875</f>
        <v>3875</v>
      </c>
      <c r="O36" s="158">
        <v>0</v>
      </c>
      <c r="P36" s="156">
        <v>0</v>
      </c>
      <c r="Q36" s="156">
        <f t="shared" si="2"/>
        <v>0</v>
      </c>
    </row>
    <row r="37" spans="1:17" s="14" customFormat="1" ht="20.25" customHeight="1">
      <c r="A37" s="306"/>
      <c r="B37" s="306"/>
      <c r="C37" s="326"/>
      <c r="D37" s="295"/>
      <c r="E37" s="295"/>
      <c r="F37" s="323"/>
      <c r="G37" s="312"/>
      <c r="H37" s="319"/>
      <c r="I37" s="309"/>
      <c r="J37" s="309"/>
      <c r="K37" s="25" t="s">
        <v>361</v>
      </c>
      <c r="L37" s="303"/>
      <c r="M37" s="160">
        <v>0</v>
      </c>
      <c r="N37" s="159">
        <v>0.2</v>
      </c>
      <c r="O37" s="158">
        <v>0</v>
      </c>
      <c r="P37" s="156">
        <v>0</v>
      </c>
      <c r="Q37" s="156">
        <f>O37/N37</f>
        <v>0</v>
      </c>
    </row>
    <row r="38" spans="1:17" s="14" customFormat="1" ht="18" customHeight="1">
      <c r="A38" s="306"/>
      <c r="B38" s="306"/>
      <c r="C38" s="306"/>
      <c r="D38" s="295"/>
      <c r="E38" s="295"/>
      <c r="F38" s="337"/>
      <c r="G38" s="312"/>
      <c r="H38" s="319"/>
      <c r="I38" s="309"/>
      <c r="J38" s="309"/>
      <c r="K38" s="25" t="s">
        <v>358</v>
      </c>
      <c r="L38" s="342"/>
      <c r="M38" s="160">
        <v>0</v>
      </c>
      <c r="N38" s="159">
        <v>2000</v>
      </c>
      <c r="O38" s="159">
        <v>0</v>
      </c>
      <c r="P38" s="156">
        <v>0</v>
      </c>
      <c r="Q38" s="156">
        <f t="shared" si="2"/>
        <v>0</v>
      </c>
    </row>
    <row r="39" spans="1:17" s="14" customFormat="1" ht="18" customHeight="1">
      <c r="A39" s="295"/>
      <c r="B39" s="295"/>
      <c r="C39" s="295"/>
      <c r="D39" s="295"/>
      <c r="E39" s="295"/>
      <c r="F39" s="324"/>
      <c r="G39" s="304"/>
      <c r="H39" s="295"/>
      <c r="I39" s="295"/>
      <c r="J39" s="295"/>
      <c r="K39" s="25" t="s">
        <v>357</v>
      </c>
      <c r="L39" s="173">
        <v>244</v>
      </c>
      <c r="M39" s="160">
        <v>0</v>
      </c>
      <c r="N39" s="159">
        <v>55.8</v>
      </c>
      <c r="O39" s="158">
        <v>0</v>
      </c>
      <c r="P39" s="156">
        <v>0</v>
      </c>
      <c r="Q39" s="156">
        <f t="shared" si="2"/>
        <v>0</v>
      </c>
    </row>
    <row r="40" spans="1:17" s="14" customFormat="1" ht="18" customHeight="1">
      <c r="A40" s="295"/>
      <c r="B40" s="295"/>
      <c r="C40" s="295"/>
      <c r="D40" s="295"/>
      <c r="E40" s="295"/>
      <c r="F40" s="324"/>
      <c r="G40" s="304"/>
      <c r="H40" s="295"/>
      <c r="I40" s="295"/>
      <c r="J40" s="295"/>
      <c r="K40" s="25" t="s">
        <v>360</v>
      </c>
      <c r="L40" s="173">
        <v>244</v>
      </c>
      <c r="M40" s="160">
        <v>10</v>
      </c>
      <c r="N40" s="159">
        <v>10</v>
      </c>
      <c r="O40" s="159">
        <v>0</v>
      </c>
      <c r="P40" s="156">
        <v>0</v>
      </c>
      <c r="Q40" s="156">
        <f t="shared" si="2"/>
        <v>0</v>
      </c>
    </row>
    <row r="41" spans="1:17" s="14" customFormat="1" ht="17.25" customHeight="1">
      <c r="A41" s="295"/>
      <c r="B41" s="295"/>
      <c r="C41" s="295"/>
      <c r="D41" s="295"/>
      <c r="E41" s="295"/>
      <c r="F41" s="324"/>
      <c r="G41" s="304"/>
      <c r="H41" s="295"/>
      <c r="I41" s="295"/>
      <c r="J41" s="295"/>
      <c r="K41" s="26" t="s">
        <v>359</v>
      </c>
      <c r="L41" s="181">
        <v>244</v>
      </c>
      <c r="M41" s="159">
        <v>0</v>
      </c>
      <c r="N41" s="159">
        <v>33.004</v>
      </c>
      <c r="O41" s="158">
        <v>33.004</v>
      </c>
      <c r="P41" s="156">
        <v>0</v>
      </c>
      <c r="Q41" s="156">
        <f>O41/N41</f>
        <v>1</v>
      </c>
    </row>
    <row r="42" spans="1:17" s="14" customFormat="1" ht="22.5" customHeight="1">
      <c r="A42" s="305" t="s">
        <v>18</v>
      </c>
      <c r="B42" s="305" t="s">
        <v>26</v>
      </c>
      <c r="C42" s="307" t="s">
        <v>31</v>
      </c>
      <c r="D42" s="308" t="s">
        <v>23</v>
      </c>
      <c r="E42" s="308"/>
      <c r="F42" s="292" t="s">
        <v>362</v>
      </c>
      <c r="G42" s="311" t="s">
        <v>89</v>
      </c>
      <c r="H42" s="318">
        <v>935</v>
      </c>
      <c r="I42" s="308" t="s">
        <v>29</v>
      </c>
      <c r="J42" s="308" t="s">
        <v>22</v>
      </c>
      <c r="K42" s="26" t="s">
        <v>363</v>
      </c>
      <c r="L42" s="302">
        <v>414</v>
      </c>
      <c r="M42" s="159">
        <v>0</v>
      </c>
      <c r="N42" s="159">
        <v>16500</v>
      </c>
      <c r="O42" s="158">
        <v>0</v>
      </c>
      <c r="P42" s="156">
        <v>0</v>
      </c>
      <c r="Q42" s="156">
        <f t="shared" si="2"/>
        <v>0</v>
      </c>
    </row>
    <row r="43" spans="1:17" s="14" customFormat="1" ht="20.25" customHeight="1">
      <c r="A43" s="306"/>
      <c r="B43" s="306"/>
      <c r="C43" s="306"/>
      <c r="D43" s="309"/>
      <c r="E43" s="309"/>
      <c r="F43" s="310"/>
      <c r="G43" s="312"/>
      <c r="H43" s="319"/>
      <c r="I43" s="309"/>
      <c r="J43" s="309"/>
      <c r="K43" s="26" t="s">
        <v>364</v>
      </c>
      <c r="L43" s="303"/>
      <c r="M43" s="159">
        <v>0</v>
      </c>
      <c r="N43" s="159">
        <v>1.65</v>
      </c>
      <c r="O43" s="158">
        <v>0</v>
      </c>
      <c r="P43" s="156">
        <v>0</v>
      </c>
      <c r="Q43" s="156">
        <f>O43/N43</f>
        <v>0</v>
      </c>
    </row>
    <row r="44" spans="1:17" s="14" customFormat="1" ht="18.75" customHeight="1">
      <c r="A44" s="295"/>
      <c r="B44" s="295"/>
      <c r="C44" s="295"/>
      <c r="D44" s="295"/>
      <c r="E44" s="295"/>
      <c r="F44" s="298"/>
      <c r="G44" s="304"/>
      <c r="H44" s="295"/>
      <c r="I44" s="295"/>
      <c r="J44" s="295"/>
      <c r="K44" s="26" t="s">
        <v>365</v>
      </c>
      <c r="L44" s="304"/>
      <c r="M44" s="159">
        <v>7.5</v>
      </c>
      <c r="N44" s="159">
        <v>7.299</v>
      </c>
      <c r="O44" s="158">
        <v>0</v>
      </c>
      <c r="P44" s="156">
        <f>O44/M44</f>
        <v>0</v>
      </c>
      <c r="Q44" s="156">
        <f t="shared" si="2"/>
        <v>0</v>
      </c>
    </row>
    <row r="45" spans="1:17" s="14" customFormat="1" ht="37.5" customHeight="1">
      <c r="A45" s="171" t="s">
        <v>18</v>
      </c>
      <c r="B45" s="171" t="s">
        <v>26</v>
      </c>
      <c r="C45" s="35" t="s">
        <v>140</v>
      </c>
      <c r="D45" s="172"/>
      <c r="E45" s="172"/>
      <c r="F45" s="183" t="s">
        <v>91</v>
      </c>
      <c r="G45" s="36" t="s">
        <v>367</v>
      </c>
      <c r="H45" s="182">
        <v>935</v>
      </c>
      <c r="I45" s="172" t="s">
        <v>29</v>
      </c>
      <c r="J45" s="172" t="s">
        <v>22</v>
      </c>
      <c r="K45" s="26" t="s">
        <v>366</v>
      </c>
      <c r="L45" s="173">
        <v>414</v>
      </c>
      <c r="M45" s="159">
        <v>0</v>
      </c>
      <c r="N45" s="159">
        <v>488.748</v>
      </c>
      <c r="O45" s="158">
        <v>146.624</v>
      </c>
      <c r="P45" s="156">
        <v>0</v>
      </c>
      <c r="Q45" s="156">
        <f t="shared" si="2"/>
        <v>0.29999918158232874</v>
      </c>
    </row>
    <row r="46" spans="1:17" s="14" customFormat="1" ht="18.75" customHeight="1">
      <c r="A46" s="305" t="s">
        <v>18</v>
      </c>
      <c r="B46" s="305" t="s">
        <v>26</v>
      </c>
      <c r="C46" s="307" t="s">
        <v>35</v>
      </c>
      <c r="D46" s="308"/>
      <c r="E46" s="308"/>
      <c r="F46" s="292" t="s">
        <v>368</v>
      </c>
      <c r="G46" s="338" t="s">
        <v>367</v>
      </c>
      <c r="H46" s="318">
        <v>935</v>
      </c>
      <c r="I46" s="308" t="s">
        <v>29</v>
      </c>
      <c r="J46" s="308" t="s">
        <v>22</v>
      </c>
      <c r="K46" s="26" t="s">
        <v>369</v>
      </c>
      <c r="L46" s="302">
        <v>414</v>
      </c>
      <c r="M46" s="159">
        <v>6834</v>
      </c>
      <c r="N46" s="159">
        <v>6834</v>
      </c>
      <c r="O46" s="158">
        <v>0</v>
      </c>
      <c r="P46" s="156">
        <v>0</v>
      </c>
      <c r="Q46" s="156">
        <f>O46/N46</f>
        <v>0</v>
      </c>
    </row>
    <row r="47" spans="1:17" s="14" customFormat="1" ht="18.75" customHeight="1">
      <c r="A47" s="306"/>
      <c r="B47" s="306"/>
      <c r="C47" s="306"/>
      <c r="D47" s="309"/>
      <c r="E47" s="309"/>
      <c r="F47" s="310"/>
      <c r="G47" s="312"/>
      <c r="H47" s="319"/>
      <c r="I47" s="309"/>
      <c r="J47" s="309"/>
      <c r="K47" s="26" t="s">
        <v>370</v>
      </c>
      <c r="L47" s="303"/>
      <c r="M47" s="159">
        <v>29.5</v>
      </c>
      <c r="N47" s="159">
        <v>2000</v>
      </c>
      <c r="O47" s="158">
        <v>0</v>
      </c>
      <c r="P47" s="156">
        <v>0</v>
      </c>
      <c r="Q47" s="156">
        <f>O47/N47</f>
        <v>0</v>
      </c>
    </row>
    <row r="48" spans="1:17" s="14" customFormat="1" ht="15">
      <c r="A48" s="330" t="s">
        <v>18</v>
      </c>
      <c r="B48" s="330" t="s">
        <v>44</v>
      </c>
      <c r="C48" s="330"/>
      <c r="D48" s="330"/>
      <c r="E48" s="330"/>
      <c r="F48" s="358" t="s">
        <v>45</v>
      </c>
      <c r="G48" s="30" t="s">
        <v>16</v>
      </c>
      <c r="H48" s="154"/>
      <c r="I48" s="154"/>
      <c r="J48" s="154"/>
      <c r="K48" s="29"/>
      <c r="L48" s="154"/>
      <c r="M48" s="31">
        <f>M49</f>
        <v>44672.4</v>
      </c>
      <c r="N48" s="31">
        <f>N49</f>
        <v>44841.28800000001</v>
      </c>
      <c r="O48" s="31">
        <f>O49</f>
        <v>14111.076499999997</v>
      </c>
      <c r="P48" s="169">
        <f aca="true" t="shared" si="3" ref="P48:P63">O48/M48</f>
        <v>0.31587907746169885</v>
      </c>
      <c r="Q48" s="169">
        <f aca="true" t="shared" si="4" ref="Q48:Q63">O48/N48</f>
        <v>0.3146893661930495</v>
      </c>
    </row>
    <row r="49" spans="1:17" s="14" customFormat="1" ht="33.75">
      <c r="A49" s="339"/>
      <c r="B49" s="339"/>
      <c r="C49" s="339"/>
      <c r="D49" s="339"/>
      <c r="E49" s="339"/>
      <c r="F49" s="358"/>
      <c r="G49" s="32" t="s">
        <v>17</v>
      </c>
      <c r="H49" s="33"/>
      <c r="I49" s="33"/>
      <c r="J49" s="33"/>
      <c r="K49" s="26"/>
      <c r="L49" s="33"/>
      <c r="M49" s="34">
        <f>SUM(M50:M68)</f>
        <v>44672.4</v>
      </c>
      <c r="N49" s="34">
        <f>SUM(N50:N68)</f>
        <v>44841.28800000001</v>
      </c>
      <c r="O49" s="34">
        <f>SUM(O50:O68)</f>
        <v>14111.076499999997</v>
      </c>
      <c r="P49" s="156">
        <f t="shared" si="3"/>
        <v>0.31587907746169885</v>
      </c>
      <c r="Q49" s="156">
        <f t="shared" si="4"/>
        <v>0.3146893661930495</v>
      </c>
    </row>
    <row r="50" spans="1:17" s="14" customFormat="1" ht="20.25" customHeight="1">
      <c r="A50" s="307" t="s">
        <v>18</v>
      </c>
      <c r="B50" s="307" t="s">
        <v>44</v>
      </c>
      <c r="C50" s="307" t="s">
        <v>20</v>
      </c>
      <c r="D50" s="307"/>
      <c r="E50" s="307"/>
      <c r="F50" s="322" t="s">
        <v>46</v>
      </c>
      <c r="G50" s="335" t="s">
        <v>17</v>
      </c>
      <c r="H50" s="307">
        <v>935</v>
      </c>
      <c r="I50" s="307" t="s">
        <v>29</v>
      </c>
      <c r="J50" s="307" t="s">
        <v>43</v>
      </c>
      <c r="K50" s="45" t="s">
        <v>173</v>
      </c>
      <c r="L50" s="377" t="s">
        <v>30</v>
      </c>
      <c r="M50" s="46">
        <v>4500</v>
      </c>
      <c r="N50" s="46">
        <v>4327</v>
      </c>
      <c r="O50" s="158">
        <v>2000</v>
      </c>
      <c r="P50" s="156">
        <f t="shared" si="3"/>
        <v>0.4444444444444444</v>
      </c>
      <c r="Q50" s="156">
        <f t="shared" si="4"/>
        <v>0.46221400508435406</v>
      </c>
    </row>
    <row r="51" spans="1:17" s="14" customFormat="1" ht="20.25" customHeight="1">
      <c r="A51" s="326"/>
      <c r="B51" s="326"/>
      <c r="C51" s="326"/>
      <c r="D51" s="326"/>
      <c r="E51" s="326"/>
      <c r="F51" s="323"/>
      <c r="G51" s="336"/>
      <c r="H51" s="326"/>
      <c r="I51" s="326"/>
      <c r="J51" s="326"/>
      <c r="K51" s="45" t="s">
        <v>375</v>
      </c>
      <c r="L51" s="378"/>
      <c r="M51" s="46">
        <v>0</v>
      </c>
      <c r="N51" s="46">
        <v>300</v>
      </c>
      <c r="O51" s="158">
        <v>0</v>
      </c>
      <c r="P51" s="156">
        <v>0</v>
      </c>
      <c r="Q51" s="156">
        <f t="shared" si="4"/>
        <v>0</v>
      </c>
    </row>
    <row r="52" spans="1:17" s="14" customFormat="1" ht="15" customHeight="1">
      <c r="A52" s="295"/>
      <c r="B52" s="295"/>
      <c r="C52" s="295"/>
      <c r="D52" s="295"/>
      <c r="E52" s="295"/>
      <c r="F52" s="324"/>
      <c r="G52" s="324"/>
      <c r="H52" s="295"/>
      <c r="I52" s="295"/>
      <c r="J52" s="295"/>
      <c r="K52" s="45" t="s">
        <v>208</v>
      </c>
      <c r="L52" s="304"/>
      <c r="M52" s="46">
        <v>1000</v>
      </c>
      <c r="N52" s="46">
        <v>1000</v>
      </c>
      <c r="O52" s="158">
        <v>0</v>
      </c>
      <c r="P52" s="156">
        <f t="shared" si="3"/>
        <v>0</v>
      </c>
      <c r="Q52" s="156">
        <f t="shared" si="4"/>
        <v>0</v>
      </c>
    </row>
    <row r="53" spans="1:17" s="14" customFormat="1" ht="17.25" customHeight="1">
      <c r="A53" s="294"/>
      <c r="B53" s="294"/>
      <c r="C53" s="294"/>
      <c r="D53" s="294"/>
      <c r="E53" s="294"/>
      <c r="F53" s="325"/>
      <c r="G53" s="325"/>
      <c r="H53" s="294"/>
      <c r="I53" s="294"/>
      <c r="J53" s="294"/>
      <c r="K53" s="45" t="s">
        <v>209</v>
      </c>
      <c r="L53" s="342"/>
      <c r="M53" s="46">
        <v>500</v>
      </c>
      <c r="N53" s="46">
        <v>200</v>
      </c>
      <c r="O53" s="158">
        <v>0</v>
      </c>
      <c r="P53" s="156">
        <f t="shared" si="3"/>
        <v>0</v>
      </c>
      <c r="Q53" s="156">
        <f t="shared" si="4"/>
        <v>0</v>
      </c>
    </row>
    <row r="54" spans="1:17" s="14" customFormat="1" ht="29.25" customHeight="1">
      <c r="A54" s="307" t="s">
        <v>18</v>
      </c>
      <c r="B54" s="307" t="s">
        <v>44</v>
      </c>
      <c r="C54" s="307" t="s">
        <v>22</v>
      </c>
      <c r="D54" s="307"/>
      <c r="E54" s="307"/>
      <c r="F54" s="322" t="s">
        <v>47</v>
      </c>
      <c r="G54" s="335" t="s">
        <v>17</v>
      </c>
      <c r="H54" s="307">
        <v>935</v>
      </c>
      <c r="I54" s="307" t="s">
        <v>29</v>
      </c>
      <c r="J54" s="307" t="s">
        <v>43</v>
      </c>
      <c r="K54" s="45" t="s">
        <v>174</v>
      </c>
      <c r="L54" s="377" t="s">
        <v>30</v>
      </c>
      <c r="M54" s="46">
        <v>2200</v>
      </c>
      <c r="N54" s="46">
        <v>2175.212</v>
      </c>
      <c r="O54" s="158">
        <v>0</v>
      </c>
      <c r="P54" s="156">
        <f t="shared" si="3"/>
        <v>0</v>
      </c>
      <c r="Q54" s="156">
        <f t="shared" si="4"/>
        <v>0</v>
      </c>
    </row>
    <row r="55" spans="1:17" s="14" customFormat="1" ht="27.75" customHeight="1">
      <c r="A55" s="289"/>
      <c r="B55" s="289"/>
      <c r="C55" s="289"/>
      <c r="D55" s="289"/>
      <c r="E55" s="289"/>
      <c r="F55" s="383"/>
      <c r="G55" s="383"/>
      <c r="H55" s="289"/>
      <c r="I55" s="289"/>
      <c r="J55" s="289"/>
      <c r="K55" s="45" t="s">
        <v>376</v>
      </c>
      <c r="L55" s="317"/>
      <c r="M55" s="46">
        <v>0</v>
      </c>
      <c r="N55" s="46">
        <f>1729.104+171.245</f>
        <v>1900.3490000000002</v>
      </c>
      <c r="O55" s="158">
        <f>299.51937+131.702</f>
        <v>431.22137</v>
      </c>
      <c r="P55" s="156">
        <v>0</v>
      </c>
      <c r="Q55" s="156">
        <f>O55/N55</f>
        <v>0.22691693473146246</v>
      </c>
    </row>
    <row r="56" spans="1:17" s="14" customFormat="1" ht="22.5" customHeight="1">
      <c r="A56" s="35" t="s">
        <v>18</v>
      </c>
      <c r="B56" s="35" t="s">
        <v>44</v>
      </c>
      <c r="C56" s="35" t="s">
        <v>43</v>
      </c>
      <c r="D56" s="35"/>
      <c r="E56" s="35"/>
      <c r="F56" s="44" t="s">
        <v>48</v>
      </c>
      <c r="G56" s="93" t="s">
        <v>17</v>
      </c>
      <c r="H56" s="35">
        <v>935</v>
      </c>
      <c r="I56" s="35" t="s">
        <v>29</v>
      </c>
      <c r="J56" s="35" t="s">
        <v>43</v>
      </c>
      <c r="K56" s="45" t="s">
        <v>175</v>
      </c>
      <c r="L56" s="198" t="s">
        <v>30</v>
      </c>
      <c r="M56" s="46">
        <v>1800</v>
      </c>
      <c r="N56" s="46">
        <v>1770.5</v>
      </c>
      <c r="O56" s="158">
        <v>0</v>
      </c>
      <c r="P56" s="156">
        <f>O56/M56</f>
        <v>0</v>
      </c>
      <c r="Q56" s="156">
        <f>O56/N56</f>
        <v>0</v>
      </c>
    </row>
    <row r="57" spans="1:17" s="14" customFormat="1" ht="27" customHeight="1">
      <c r="A57" s="35" t="s">
        <v>18</v>
      </c>
      <c r="B57" s="35" t="s">
        <v>44</v>
      </c>
      <c r="C57" s="35" t="s">
        <v>21</v>
      </c>
      <c r="D57" s="35"/>
      <c r="E57" s="35"/>
      <c r="F57" s="94" t="s">
        <v>49</v>
      </c>
      <c r="G57" s="93" t="s">
        <v>17</v>
      </c>
      <c r="H57" s="35">
        <v>935</v>
      </c>
      <c r="I57" s="35" t="s">
        <v>29</v>
      </c>
      <c r="J57" s="35" t="s">
        <v>43</v>
      </c>
      <c r="K57" s="45" t="s">
        <v>176</v>
      </c>
      <c r="L57" s="198" t="s">
        <v>30</v>
      </c>
      <c r="M57" s="46">
        <v>24402.7</v>
      </c>
      <c r="N57" s="46">
        <v>24140.284</v>
      </c>
      <c r="O57" s="199">
        <v>11424.694</v>
      </c>
      <c r="P57" s="156">
        <f t="shared" si="3"/>
        <v>0.46817335786613773</v>
      </c>
      <c r="Q57" s="156">
        <f t="shared" si="4"/>
        <v>0.47326261778858936</v>
      </c>
    </row>
    <row r="58" spans="1:17" s="14" customFormat="1" ht="25.5" customHeight="1">
      <c r="A58" s="35" t="s">
        <v>18</v>
      </c>
      <c r="B58" s="35" t="s">
        <v>44</v>
      </c>
      <c r="C58" s="35" t="s">
        <v>29</v>
      </c>
      <c r="D58" s="35"/>
      <c r="E58" s="35"/>
      <c r="F58" s="94" t="s">
        <v>50</v>
      </c>
      <c r="G58" s="93" t="s">
        <v>17</v>
      </c>
      <c r="H58" s="35" t="s">
        <v>28</v>
      </c>
      <c r="I58" s="35" t="s">
        <v>29</v>
      </c>
      <c r="J58" s="35" t="s">
        <v>43</v>
      </c>
      <c r="K58" s="45" t="s">
        <v>177</v>
      </c>
      <c r="L58" s="198" t="s">
        <v>30</v>
      </c>
      <c r="M58" s="46">
        <v>1100</v>
      </c>
      <c r="N58" s="46">
        <f>980+300</f>
        <v>1280</v>
      </c>
      <c r="O58" s="199">
        <v>247.36113</v>
      </c>
      <c r="P58" s="156">
        <f t="shared" si="3"/>
        <v>0.22487375454545455</v>
      </c>
      <c r="Q58" s="156">
        <f t="shared" si="4"/>
        <v>0.1932508828125</v>
      </c>
    </row>
    <row r="59" spans="1:17" s="14" customFormat="1" ht="24" customHeight="1">
      <c r="A59" s="307" t="s">
        <v>18</v>
      </c>
      <c r="B59" s="307" t="s">
        <v>44</v>
      </c>
      <c r="C59" s="307" t="s">
        <v>25</v>
      </c>
      <c r="D59" s="307"/>
      <c r="E59" s="307"/>
      <c r="F59" s="322" t="s">
        <v>283</v>
      </c>
      <c r="G59" s="335" t="s">
        <v>17</v>
      </c>
      <c r="H59" s="307">
        <v>935</v>
      </c>
      <c r="I59" s="307" t="s">
        <v>29</v>
      </c>
      <c r="J59" s="307" t="s">
        <v>43</v>
      </c>
      <c r="K59" s="45" t="s">
        <v>264</v>
      </c>
      <c r="L59" s="377" t="s">
        <v>30</v>
      </c>
      <c r="M59" s="46">
        <v>0</v>
      </c>
      <c r="N59" s="46">
        <v>295</v>
      </c>
      <c r="O59" s="46">
        <v>0</v>
      </c>
      <c r="P59" s="156">
        <v>0</v>
      </c>
      <c r="Q59" s="156">
        <f t="shared" si="4"/>
        <v>0</v>
      </c>
    </row>
    <row r="60" spans="1:17" s="14" customFormat="1" ht="24" customHeight="1">
      <c r="A60" s="326"/>
      <c r="B60" s="326"/>
      <c r="C60" s="326"/>
      <c r="D60" s="326"/>
      <c r="E60" s="326"/>
      <c r="F60" s="323"/>
      <c r="G60" s="336"/>
      <c r="H60" s="326"/>
      <c r="I60" s="326"/>
      <c r="J60" s="326"/>
      <c r="K60" s="45" t="s">
        <v>284</v>
      </c>
      <c r="L60" s="378"/>
      <c r="M60" s="46">
        <v>0</v>
      </c>
      <c r="N60" s="46">
        <v>1172.5</v>
      </c>
      <c r="O60" s="46">
        <v>0</v>
      </c>
      <c r="P60" s="156">
        <v>0</v>
      </c>
      <c r="Q60" s="156">
        <f t="shared" si="4"/>
        <v>0</v>
      </c>
    </row>
    <row r="61" spans="1:17" s="14" customFormat="1" ht="20.25" customHeight="1">
      <c r="A61" s="295"/>
      <c r="B61" s="295"/>
      <c r="C61" s="295"/>
      <c r="D61" s="295"/>
      <c r="E61" s="295"/>
      <c r="F61" s="324"/>
      <c r="G61" s="324"/>
      <c r="H61" s="295"/>
      <c r="I61" s="295"/>
      <c r="J61" s="295"/>
      <c r="K61" s="45" t="s">
        <v>210</v>
      </c>
      <c r="L61" s="304"/>
      <c r="M61" s="46">
        <v>6000</v>
      </c>
      <c r="N61" s="46">
        <v>3708.843</v>
      </c>
      <c r="O61" s="46">
        <v>0</v>
      </c>
      <c r="P61" s="156">
        <f>O61/M61</f>
        <v>0</v>
      </c>
      <c r="Q61" s="156">
        <f>O61/N61</f>
        <v>0</v>
      </c>
    </row>
    <row r="62" spans="1:17" s="14" customFormat="1" ht="21" customHeight="1">
      <c r="A62" s="294"/>
      <c r="B62" s="294"/>
      <c r="C62" s="294"/>
      <c r="D62" s="294"/>
      <c r="E62" s="294"/>
      <c r="F62" s="325"/>
      <c r="G62" s="325"/>
      <c r="H62" s="294"/>
      <c r="I62" s="294"/>
      <c r="J62" s="294"/>
      <c r="K62" s="45" t="s">
        <v>265</v>
      </c>
      <c r="L62" s="342"/>
      <c r="M62" s="46">
        <v>800</v>
      </c>
      <c r="N62" s="46">
        <v>349.9</v>
      </c>
      <c r="O62" s="46">
        <v>0</v>
      </c>
      <c r="P62" s="156">
        <v>0</v>
      </c>
      <c r="Q62" s="156">
        <f>O62/N62</f>
        <v>0</v>
      </c>
    </row>
    <row r="63" spans="1:17" s="14" customFormat="1" ht="39" customHeight="1">
      <c r="A63" s="35" t="s">
        <v>18</v>
      </c>
      <c r="B63" s="35" t="s">
        <v>44</v>
      </c>
      <c r="C63" s="35" t="s">
        <v>33</v>
      </c>
      <c r="D63" s="35"/>
      <c r="E63" s="35"/>
      <c r="F63" s="44" t="s">
        <v>51</v>
      </c>
      <c r="G63" s="93" t="s">
        <v>17</v>
      </c>
      <c r="H63" s="35">
        <v>935</v>
      </c>
      <c r="I63" s="35" t="s">
        <v>29</v>
      </c>
      <c r="J63" s="35" t="s">
        <v>43</v>
      </c>
      <c r="K63" s="45" t="s">
        <v>199</v>
      </c>
      <c r="L63" s="198" t="s">
        <v>30</v>
      </c>
      <c r="M63" s="46">
        <v>1350</v>
      </c>
      <c r="N63" s="46">
        <v>1350</v>
      </c>
      <c r="O63" s="158">
        <v>0</v>
      </c>
      <c r="P63" s="156">
        <f t="shared" si="3"/>
        <v>0</v>
      </c>
      <c r="Q63" s="156">
        <f t="shared" si="4"/>
        <v>0</v>
      </c>
    </row>
    <row r="64" spans="1:17" s="14" customFormat="1" ht="39" customHeight="1">
      <c r="A64" s="35" t="s">
        <v>18</v>
      </c>
      <c r="B64" s="35" t="s">
        <v>44</v>
      </c>
      <c r="C64" s="35" t="s">
        <v>142</v>
      </c>
      <c r="D64" s="35"/>
      <c r="E64" s="35"/>
      <c r="F64" s="51" t="s">
        <v>119</v>
      </c>
      <c r="G64" s="5" t="s">
        <v>17</v>
      </c>
      <c r="H64" s="35">
        <v>935</v>
      </c>
      <c r="I64" s="35" t="s">
        <v>29</v>
      </c>
      <c r="J64" s="35" t="s">
        <v>43</v>
      </c>
      <c r="K64" s="45" t="s">
        <v>200</v>
      </c>
      <c r="L64" s="198" t="s">
        <v>30</v>
      </c>
      <c r="M64" s="46">
        <v>692.9</v>
      </c>
      <c r="N64" s="46">
        <v>542.9</v>
      </c>
      <c r="O64" s="158">
        <v>0</v>
      </c>
      <c r="P64" s="156">
        <f>O64/M64</f>
        <v>0</v>
      </c>
      <c r="Q64" s="156">
        <f aca="true" t="shared" si="5" ref="Q64:Q79">O64/N64</f>
        <v>0</v>
      </c>
    </row>
    <row r="65" spans="1:17" s="14" customFormat="1" ht="39" customHeight="1">
      <c r="A65" s="35" t="s">
        <v>18</v>
      </c>
      <c r="B65" s="35" t="s">
        <v>44</v>
      </c>
      <c r="C65" s="35" t="s">
        <v>234</v>
      </c>
      <c r="D65" s="35"/>
      <c r="E65" s="35"/>
      <c r="F65" s="47" t="s">
        <v>178</v>
      </c>
      <c r="G65" s="43" t="s">
        <v>17</v>
      </c>
      <c r="H65" s="35">
        <v>935</v>
      </c>
      <c r="I65" s="35" t="s">
        <v>29</v>
      </c>
      <c r="J65" s="35" t="s">
        <v>43</v>
      </c>
      <c r="K65" s="45" t="s">
        <v>377</v>
      </c>
      <c r="L65" s="198" t="s">
        <v>30</v>
      </c>
      <c r="M65" s="46">
        <v>316.8</v>
      </c>
      <c r="N65" s="46">
        <v>316.8</v>
      </c>
      <c r="O65" s="158">
        <v>0</v>
      </c>
      <c r="P65" s="156">
        <f>O65/M65</f>
        <v>0</v>
      </c>
      <c r="Q65" s="156">
        <f t="shared" si="5"/>
        <v>0</v>
      </c>
    </row>
    <row r="66" spans="1:17" s="14" customFormat="1" ht="39" customHeight="1">
      <c r="A66" s="35" t="s">
        <v>18</v>
      </c>
      <c r="B66" s="35" t="s">
        <v>44</v>
      </c>
      <c r="C66" s="35" t="s">
        <v>108</v>
      </c>
      <c r="D66" s="35"/>
      <c r="E66" s="35"/>
      <c r="F66" s="54" t="s">
        <v>211</v>
      </c>
      <c r="G66" s="43" t="s">
        <v>17</v>
      </c>
      <c r="H66" s="35">
        <v>935</v>
      </c>
      <c r="I66" s="35" t="s">
        <v>29</v>
      </c>
      <c r="J66" s="35" t="s">
        <v>43</v>
      </c>
      <c r="K66" s="35" t="s">
        <v>378</v>
      </c>
      <c r="L66" s="198" t="s">
        <v>30</v>
      </c>
      <c r="M66" s="46">
        <v>10</v>
      </c>
      <c r="N66" s="46">
        <v>10</v>
      </c>
      <c r="O66" s="158">
        <v>7.8</v>
      </c>
      <c r="P66" s="156">
        <f>O66/M66</f>
        <v>0.78</v>
      </c>
      <c r="Q66" s="156">
        <f t="shared" si="5"/>
        <v>0.78</v>
      </c>
    </row>
    <row r="67" spans="1:17" s="14" customFormat="1" ht="27" customHeight="1">
      <c r="A67" s="35" t="s">
        <v>18</v>
      </c>
      <c r="B67" s="35" t="s">
        <v>44</v>
      </c>
      <c r="C67" s="35" t="s">
        <v>201</v>
      </c>
      <c r="D67" s="35"/>
      <c r="E67" s="35"/>
      <c r="F67" s="54" t="s">
        <v>379</v>
      </c>
      <c r="G67" s="43" t="s">
        <v>17</v>
      </c>
      <c r="H67" s="35">
        <v>935</v>
      </c>
      <c r="I67" s="35" t="s">
        <v>29</v>
      </c>
      <c r="J67" s="35" t="s">
        <v>43</v>
      </c>
      <c r="K67" s="35" t="s">
        <v>380</v>
      </c>
      <c r="L67" s="198" t="s">
        <v>381</v>
      </c>
      <c r="M67" s="46">
        <v>0</v>
      </c>
      <c r="N67" s="46">
        <v>1</v>
      </c>
      <c r="O67" s="158">
        <v>0</v>
      </c>
      <c r="P67" s="156">
        <v>0</v>
      </c>
      <c r="Q67" s="156">
        <f t="shared" si="5"/>
        <v>0</v>
      </c>
    </row>
    <row r="68" spans="1:17" s="14" customFormat="1" ht="22.5" customHeight="1">
      <c r="A68" s="35" t="s">
        <v>18</v>
      </c>
      <c r="B68" s="35" t="s">
        <v>44</v>
      </c>
      <c r="C68" s="35" t="s">
        <v>235</v>
      </c>
      <c r="D68" s="35"/>
      <c r="E68" s="35"/>
      <c r="F68" s="54" t="s">
        <v>383</v>
      </c>
      <c r="G68" s="43" t="s">
        <v>17</v>
      </c>
      <c r="H68" s="35">
        <v>935</v>
      </c>
      <c r="I68" s="35" t="s">
        <v>29</v>
      </c>
      <c r="J68" s="35" t="s">
        <v>43</v>
      </c>
      <c r="K68" s="35" t="s">
        <v>382</v>
      </c>
      <c r="L68" s="198" t="s">
        <v>381</v>
      </c>
      <c r="M68" s="46">
        <v>0</v>
      </c>
      <c r="N68" s="46">
        <v>1</v>
      </c>
      <c r="O68" s="158">
        <v>0</v>
      </c>
      <c r="P68" s="156">
        <v>0</v>
      </c>
      <c r="Q68" s="156">
        <f t="shared" si="5"/>
        <v>0</v>
      </c>
    </row>
    <row r="69" spans="1:17" s="14" customFormat="1" ht="15" customHeight="1">
      <c r="A69" s="330" t="s">
        <v>18</v>
      </c>
      <c r="B69" s="330" t="s">
        <v>52</v>
      </c>
      <c r="C69" s="330"/>
      <c r="D69" s="330"/>
      <c r="E69" s="330"/>
      <c r="F69" s="332" t="s">
        <v>53</v>
      </c>
      <c r="G69" s="30" t="s">
        <v>16</v>
      </c>
      <c r="H69" s="154"/>
      <c r="I69" s="154"/>
      <c r="J69" s="154"/>
      <c r="K69" s="29"/>
      <c r="L69" s="154"/>
      <c r="M69" s="31">
        <f>M70+M71</f>
        <v>101689.3</v>
      </c>
      <c r="N69" s="31">
        <f>N70+N71</f>
        <v>204607.82636</v>
      </c>
      <c r="O69" s="31">
        <f>O70+O71</f>
        <v>8569.573</v>
      </c>
      <c r="P69" s="169">
        <f>O69/M69</f>
        <v>0.08427212105895114</v>
      </c>
      <c r="Q69" s="169">
        <f t="shared" si="5"/>
        <v>0.04188291891103984</v>
      </c>
    </row>
    <row r="70" spans="1:17" s="14" customFormat="1" ht="33.75">
      <c r="A70" s="331"/>
      <c r="B70" s="331"/>
      <c r="C70" s="331"/>
      <c r="D70" s="331"/>
      <c r="E70" s="331"/>
      <c r="F70" s="333"/>
      <c r="G70" s="32" t="s">
        <v>17</v>
      </c>
      <c r="H70" s="33">
        <v>935</v>
      </c>
      <c r="I70" s="26"/>
      <c r="J70" s="26"/>
      <c r="K70" s="26"/>
      <c r="L70" s="26"/>
      <c r="M70" s="34">
        <f>M76+M77+M79+M80+M81+M82+M83+M84</f>
        <v>99891.5</v>
      </c>
      <c r="N70" s="34">
        <f>N76+N77+N79+N80+N81+N82+N83+N84</f>
        <v>200751.97286</v>
      </c>
      <c r="O70" s="34">
        <f>O76+O77+O79+O80+O81+O82+O83+O84</f>
        <v>8569.573</v>
      </c>
      <c r="P70" s="156">
        <f>O70/M70</f>
        <v>0.08578881085978286</v>
      </c>
      <c r="Q70" s="156">
        <f t="shared" si="5"/>
        <v>0.042687366295404885</v>
      </c>
    </row>
    <row r="71" spans="1:17" s="14" customFormat="1" ht="33.75">
      <c r="A71" s="294"/>
      <c r="B71" s="294"/>
      <c r="C71" s="294"/>
      <c r="D71" s="294"/>
      <c r="E71" s="294"/>
      <c r="F71" s="334"/>
      <c r="G71" s="32" t="s">
        <v>203</v>
      </c>
      <c r="H71" s="155">
        <v>940</v>
      </c>
      <c r="I71" s="25"/>
      <c r="J71" s="25"/>
      <c r="K71" s="26"/>
      <c r="L71" s="25"/>
      <c r="M71" s="34">
        <f>M73+M78</f>
        <v>1797.8</v>
      </c>
      <c r="N71" s="34">
        <f>N73+N78+N72+N74+N75</f>
        <v>3855.8535</v>
      </c>
      <c r="O71" s="34">
        <f>O73+O78</f>
        <v>0</v>
      </c>
      <c r="P71" s="156">
        <v>0</v>
      </c>
      <c r="Q71" s="156">
        <f t="shared" si="5"/>
        <v>0</v>
      </c>
    </row>
    <row r="72" spans="1:17" s="14" customFormat="1" ht="15" customHeight="1">
      <c r="A72" s="290" t="s">
        <v>18</v>
      </c>
      <c r="B72" s="290" t="s">
        <v>52</v>
      </c>
      <c r="C72" s="290" t="s">
        <v>20</v>
      </c>
      <c r="D72" s="297"/>
      <c r="E72" s="297"/>
      <c r="F72" s="292" t="s">
        <v>330</v>
      </c>
      <c r="G72" s="335" t="s">
        <v>203</v>
      </c>
      <c r="H72" s="321">
        <v>940</v>
      </c>
      <c r="I72" s="290" t="s">
        <v>21</v>
      </c>
      <c r="J72" s="290" t="s">
        <v>33</v>
      </c>
      <c r="K72" s="26" t="s">
        <v>331</v>
      </c>
      <c r="L72" s="290" t="s">
        <v>202</v>
      </c>
      <c r="M72" s="34">
        <v>0</v>
      </c>
      <c r="N72" s="34">
        <v>2087.91</v>
      </c>
      <c r="O72" s="34">
        <v>0</v>
      </c>
      <c r="P72" s="156">
        <v>0</v>
      </c>
      <c r="Q72" s="156">
        <f>O72/N72</f>
        <v>0</v>
      </c>
    </row>
    <row r="73" spans="1:17" s="14" customFormat="1" ht="15">
      <c r="A73" s="295"/>
      <c r="B73" s="295"/>
      <c r="C73" s="295"/>
      <c r="D73" s="295"/>
      <c r="E73" s="295"/>
      <c r="F73" s="298"/>
      <c r="G73" s="324"/>
      <c r="H73" s="295"/>
      <c r="I73" s="295"/>
      <c r="J73" s="295"/>
      <c r="K73" s="26" t="s">
        <v>332</v>
      </c>
      <c r="L73" s="295"/>
      <c r="M73" s="34">
        <v>90</v>
      </c>
      <c r="N73" s="34">
        <v>1707.8</v>
      </c>
      <c r="O73" s="34">
        <v>0</v>
      </c>
      <c r="P73" s="156">
        <v>0</v>
      </c>
      <c r="Q73" s="156">
        <f t="shared" si="5"/>
        <v>0</v>
      </c>
    </row>
    <row r="74" spans="1:17" s="14" customFormat="1" ht="15">
      <c r="A74" s="295"/>
      <c r="B74" s="295"/>
      <c r="C74" s="295"/>
      <c r="D74" s="295"/>
      <c r="E74" s="295"/>
      <c r="F74" s="298"/>
      <c r="G74" s="324"/>
      <c r="H74" s="295"/>
      <c r="I74" s="295"/>
      <c r="J74" s="295"/>
      <c r="K74" s="26" t="s">
        <v>333</v>
      </c>
      <c r="L74" s="295"/>
      <c r="M74" s="34">
        <v>0</v>
      </c>
      <c r="N74" s="34">
        <v>2.09</v>
      </c>
      <c r="O74" s="34">
        <v>0</v>
      </c>
      <c r="P74" s="156">
        <v>0</v>
      </c>
      <c r="Q74" s="156">
        <f>O74/N74</f>
        <v>0</v>
      </c>
    </row>
    <row r="75" spans="1:17" s="14" customFormat="1" ht="15">
      <c r="A75" s="295"/>
      <c r="B75" s="295"/>
      <c r="C75" s="295"/>
      <c r="D75" s="295"/>
      <c r="E75" s="295"/>
      <c r="F75" s="298"/>
      <c r="G75" s="324"/>
      <c r="H75" s="295"/>
      <c r="I75" s="295"/>
      <c r="J75" s="295"/>
      <c r="K75" s="25" t="s">
        <v>334</v>
      </c>
      <c r="L75" s="295"/>
      <c r="M75" s="34">
        <v>0</v>
      </c>
      <c r="N75" s="34">
        <v>58.0535</v>
      </c>
      <c r="O75" s="34">
        <v>0</v>
      </c>
      <c r="P75" s="156">
        <v>0</v>
      </c>
      <c r="Q75" s="156">
        <f>O75/N75</f>
        <v>0</v>
      </c>
    </row>
    <row r="76" spans="1:17" s="14" customFormat="1" ht="15">
      <c r="A76" s="296"/>
      <c r="B76" s="296"/>
      <c r="C76" s="296"/>
      <c r="D76" s="296"/>
      <c r="E76" s="296"/>
      <c r="F76" s="299"/>
      <c r="G76" s="300" t="s">
        <v>17</v>
      </c>
      <c r="H76" s="371">
        <v>935</v>
      </c>
      <c r="I76" s="369" t="s">
        <v>21</v>
      </c>
      <c r="J76" s="369" t="s">
        <v>33</v>
      </c>
      <c r="K76" s="26" t="s">
        <v>331</v>
      </c>
      <c r="L76" s="296"/>
      <c r="M76" s="34">
        <v>0</v>
      </c>
      <c r="N76" s="34">
        <v>7000</v>
      </c>
      <c r="O76" s="34">
        <v>0</v>
      </c>
      <c r="P76" s="156">
        <v>0</v>
      </c>
      <c r="Q76" s="156">
        <f>O76/N76</f>
        <v>0</v>
      </c>
    </row>
    <row r="77" spans="1:17" s="14" customFormat="1" ht="15">
      <c r="A77" s="289"/>
      <c r="B77" s="289"/>
      <c r="C77" s="289"/>
      <c r="D77" s="289"/>
      <c r="E77" s="289"/>
      <c r="F77" s="293"/>
      <c r="G77" s="301"/>
      <c r="H77" s="372"/>
      <c r="I77" s="370"/>
      <c r="J77" s="370"/>
      <c r="K77" s="26" t="s">
        <v>335</v>
      </c>
      <c r="L77" s="289"/>
      <c r="M77" s="34">
        <v>0</v>
      </c>
      <c r="N77" s="34">
        <v>3.777</v>
      </c>
      <c r="O77" s="34">
        <v>0</v>
      </c>
      <c r="P77" s="156">
        <v>0</v>
      </c>
      <c r="Q77" s="156">
        <f>O77/N77</f>
        <v>0</v>
      </c>
    </row>
    <row r="78" spans="1:17" s="14" customFormat="1" ht="33.75">
      <c r="A78" s="290" t="s">
        <v>18</v>
      </c>
      <c r="B78" s="290" t="s">
        <v>52</v>
      </c>
      <c r="C78" s="290" t="s">
        <v>22</v>
      </c>
      <c r="D78" s="291"/>
      <c r="E78" s="291"/>
      <c r="F78" s="292" t="s">
        <v>336</v>
      </c>
      <c r="G78" s="32" t="s">
        <v>203</v>
      </c>
      <c r="H78" s="155">
        <v>940</v>
      </c>
      <c r="I78" s="290" t="s">
        <v>21</v>
      </c>
      <c r="J78" s="290" t="s">
        <v>33</v>
      </c>
      <c r="K78" s="26" t="s">
        <v>343</v>
      </c>
      <c r="L78" s="288" t="s">
        <v>30</v>
      </c>
      <c r="M78" s="34">
        <v>1707.8</v>
      </c>
      <c r="N78" s="34">
        <v>0</v>
      </c>
      <c r="O78" s="34">
        <v>0</v>
      </c>
      <c r="P78" s="156">
        <v>0</v>
      </c>
      <c r="Q78" s="156">
        <v>0</v>
      </c>
    </row>
    <row r="79" spans="1:17" s="14" customFormat="1" ht="38.25" customHeight="1">
      <c r="A79" s="289"/>
      <c r="B79" s="289"/>
      <c r="C79" s="289"/>
      <c r="D79" s="289"/>
      <c r="E79" s="289"/>
      <c r="F79" s="293"/>
      <c r="G79" s="93" t="s">
        <v>17</v>
      </c>
      <c r="H79" s="155">
        <v>935</v>
      </c>
      <c r="I79" s="289"/>
      <c r="J79" s="289"/>
      <c r="K79" s="26" t="s">
        <v>337</v>
      </c>
      <c r="L79" s="289"/>
      <c r="M79" s="28">
        <v>17362.3</v>
      </c>
      <c r="N79" s="28">
        <v>17287.3</v>
      </c>
      <c r="O79" s="158">
        <v>7765</v>
      </c>
      <c r="P79" s="156">
        <f>O79/M79</f>
        <v>0.44723337345858555</v>
      </c>
      <c r="Q79" s="156">
        <f t="shared" si="5"/>
        <v>0.44917367084507126</v>
      </c>
    </row>
    <row r="80" spans="1:17" s="14" customFormat="1" ht="26.25" customHeight="1">
      <c r="A80" s="366" t="s">
        <v>18</v>
      </c>
      <c r="B80" s="366" t="s">
        <v>52</v>
      </c>
      <c r="C80" s="366" t="s">
        <v>25</v>
      </c>
      <c r="D80" s="295"/>
      <c r="E80" s="295"/>
      <c r="F80" s="292" t="s">
        <v>54</v>
      </c>
      <c r="G80" s="335" t="s">
        <v>17</v>
      </c>
      <c r="H80" s="321">
        <v>935</v>
      </c>
      <c r="I80" s="290" t="s">
        <v>21</v>
      </c>
      <c r="J80" s="290" t="s">
        <v>33</v>
      </c>
      <c r="K80" s="26" t="s">
        <v>338</v>
      </c>
      <c r="L80" s="288" t="s">
        <v>30</v>
      </c>
      <c r="M80" s="150">
        <v>75521.7</v>
      </c>
      <c r="N80" s="150">
        <f>142895.3+2596.2</f>
        <v>145491.5</v>
      </c>
      <c r="O80" s="159">
        <v>0</v>
      </c>
      <c r="P80" s="156">
        <v>0</v>
      </c>
      <c r="Q80" s="156">
        <v>0</v>
      </c>
    </row>
    <row r="81" spans="1:17" s="14" customFormat="1" ht="26.25" customHeight="1">
      <c r="A81" s="366"/>
      <c r="B81" s="366"/>
      <c r="C81" s="366"/>
      <c r="D81" s="295"/>
      <c r="E81" s="295"/>
      <c r="F81" s="368"/>
      <c r="G81" s="336"/>
      <c r="H81" s="367"/>
      <c r="I81" s="366"/>
      <c r="J81" s="366"/>
      <c r="K81" s="26" t="s">
        <v>340</v>
      </c>
      <c r="L81" s="343"/>
      <c r="M81" s="162">
        <v>100</v>
      </c>
      <c r="N81" s="162">
        <f>143.039+2.46886</f>
        <v>145.50786</v>
      </c>
      <c r="O81" s="163">
        <v>0</v>
      </c>
      <c r="P81" s="161">
        <f aca="true" t="shared" si="6" ref="P81:P86">O81/M81</f>
        <v>0</v>
      </c>
      <c r="Q81" s="161">
        <f aca="true" t="shared" si="7" ref="Q81:Q86">O81/N81</f>
        <v>0</v>
      </c>
    </row>
    <row r="82" spans="1:17" s="14" customFormat="1" ht="23.25" customHeight="1">
      <c r="A82" s="295"/>
      <c r="B82" s="295"/>
      <c r="C82" s="295"/>
      <c r="D82" s="295"/>
      <c r="E82" s="295"/>
      <c r="F82" s="298"/>
      <c r="G82" s="324"/>
      <c r="H82" s="295"/>
      <c r="I82" s="295"/>
      <c r="J82" s="295"/>
      <c r="K82" s="168" t="s">
        <v>339</v>
      </c>
      <c r="L82" s="304"/>
      <c r="M82" s="160">
        <v>3000</v>
      </c>
      <c r="N82" s="160">
        <f>26240+75</f>
        <v>26315</v>
      </c>
      <c r="O82" s="160">
        <v>75</v>
      </c>
      <c r="P82" s="161">
        <f t="shared" si="6"/>
        <v>0.025</v>
      </c>
      <c r="Q82" s="161">
        <f t="shared" si="7"/>
        <v>0.002850085502565077</v>
      </c>
    </row>
    <row r="83" spans="1:17" s="14" customFormat="1" ht="48" customHeight="1">
      <c r="A83" s="95" t="s">
        <v>18</v>
      </c>
      <c r="B83" s="95" t="s">
        <v>52</v>
      </c>
      <c r="C83" s="95" t="s">
        <v>18</v>
      </c>
      <c r="D83" s="95"/>
      <c r="E83" s="95"/>
      <c r="F83" s="23" t="s">
        <v>55</v>
      </c>
      <c r="G83" s="93" t="s">
        <v>17</v>
      </c>
      <c r="H83" s="164">
        <v>935</v>
      </c>
      <c r="I83" s="95" t="s">
        <v>21</v>
      </c>
      <c r="J83" s="95" t="s">
        <v>33</v>
      </c>
      <c r="K83" s="165" t="s">
        <v>341</v>
      </c>
      <c r="L83" s="166" t="s">
        <v>30</v>
      </c>
      <c r="M83" s="167">
        <v>3900</v>
      </c>
      <c r="N83" s="167">
        <f>3771.815+729.573</f>
        <v>4501.388</v>
      </c>
      <c r="O83" s="158">
        <v>729.573</v>
      </c>
      <c r="P83" s="156">
        <f t="shared" si="6"/>
        <v>0.18707</v>
      </c>
      <c r="Q83" s="156">
        <f t="shared" si="7"/>
        <v>0.1620773414777842</v>
      </c>
    </row>
    <row r="84" spans="1:17" s="14" customFormat="1" ht="97.5" customHeight="1">
      <c r="A84" s="95" t="s">
        <v>18</v>
      </c>
      <c r="B84" s="95" t="s">
        <v>52</v>
      </c>
      <c r="C84" s="95" t="s">
        <v>38</v>
      </c>
      <c r="D84" s="95"/>
      <c r="E84" s="95"/>
      <c r="F84" s="23" t="s">
        <v>109</v>
      </c>
      <c r="G84" s="93" t="s">
        <v>17</v>
      </c>
      <c r="H84" s="164">
        <v>935</v>
      </c>
      <c r="I84" s="95" t="s">
        <v>21</v>
      </c>
      <c r="J84" s="95" t="s">
        <v>33</v>
      </c>
      <c r="K84" s="165" t="s">
        <v>342</v>
      </c>
      <c r="L84" s="166" t="s">
        <v>30</v>
      </c>
      <c r="M84" s="167">
        <v>7.5</v>
      </c>
      <c r="N84" s="167">
        <v>7.5</v>
      </c>
      <c r="O84" s="158">
        <v>0</v>
      </c>
      <c r="P84" s="156">
        <f t="shared" si="6"/>
        <v>0</v>
      </c>
      <c r="Q84" s="156">
        <f t="shared" si="7"/>
        <v>0</v>
      </c>
    </row>
    <row r="85" spans="1:17" s="14" customFormat="1" ht="15">
      <c r="A85" s="379" t="s">
        <v>18</v>
      </c>
      <c r="B85" s="380" t="s">
        <v>56</v>
      </c>
      <c r="C85" s="380"/>
      <c r="D85" s="380"/>
      <c r="E85" s="380"/>
      <c r="F85" s="381" t="s">
        <v>57</v>
      </c>
      <c r="G85" s="89" t="s">
        <v>16</v>
      </c>
      <c r="H85" s="200"/>
      <c r="I85" s="200"/>
      <c r="J85" s="200"/>
      <c r="K85" s="201"/>
      <c r="L85" s="200"/>
      <c r="M85" s="202">
        <f>SUM(M86:M86)</f>
        <v>9638.3</v>
      </c>
      <c r="N85" s="202">
        <f>SUM(N86:N86)</f>
        <v>7746.1</v>
      </c>
      <c r="O85" s="202">
        <f>SUM(O86:O86)</f>
        <v>4481.33198</v>
      </c>
      <c r="P85" s="169">
        <f t="shared" si="6"/>
        <v>0.46495045599327683</v>
      </c>
      <c r="Q85" s="169">
        <f t="shared" si="7"/>
        <v>0.5785275144911632</v>
      </c>
    </row>
    <row r="86" spans="1:17" s="14" customFormat="1" ht="45" customHeight="1">
      <c r="A86" s="379"/>
      <c r="B86" s="380"/>
      <c r="C86" s="380"/>
      <c r="D86" s="380"/>
      <c r="E86" s="380"/>
      <c r="F86" s="381"/>
      <c r="G86" s="64" t="s">
        <v>58</v>
      </c>
      <c r="H86" s="203">
        <v>935</v>
      </c>
      <c r="I86" s="55" t="s">
        <v>29</v>
      </c>
      <c r="J86" s="55" t="s">
        <v>29</v>
      </c>
      <c r="K86" s="55" t="s">
        <v>179</v>
      </c>
      <c r="L86" s="48" t="s">
        <v>384</v>
      </c>
      <c r="M86" s="204">
        <f>7040.2+2126.1+176+50+106+50+90</f>
        <v>9638.3</v>
      </c>
      <c r="N86" s="204">
        <f>5493.1+100+1689+176+50+132+50+56</f>
        <v>7746.1</v>
      </c>
      <c r="O86" s="159">
        <f>3229.348+46.848+1070.467+56.93898+11.73+66</f>
        <v>4481.33198</v>
      </c>
      <c r="P86" s="156">
        <f t="shared" si="6"/>
        <v>0.46495045599327683</v>
      </c>
      <c r="Q86" s="156">
        <f t="shared" si="7"/>
        <v>0.5785275144911632</v>
      </c>
    </row>
  </sheetData>
  <sheetProtection/>
  <mergeCells count="206">
    <mergeCell ref="D54:D55"/>
    <mergeCell ref="E54:E55"/>
    <mergeCell ref="F54:F55"/>
    <mergeCell ref="G54:G55"/>
    <mergeCell ref="H54:H55"/>
    <mergeCell ref="I54:I55"/>
    <mergeCell ref="L36:L38"/>
    <mergeCell ref="J36:J41"/>
    <mergeCell ref="I36:I41"/>
    <mergeCell ref="A3:Q3"/>
    <mergeCell ref="A4:Q4"/>
    <mergeCell ref="G36:G41"/>
    <mergeCell ref="H36:H41"/>
    <mergeCell ref="F29:F30"/>
    <mergeCell ref="E17:E18"/>
    <mergeCell ref="D29:D30"/>
    <mergeCell ref="B50:B53"/>
    <mergeCell ref="C50:C53"/>
    <mergeCell ref="A59:A62"/>
    <mergeCell ref="B59:B62"/>
    <mergeCell ref="C59:C62"/>
    <mergeCell ref="A54:A55"/>
    <mergeCell ref="B54:B55"/>
    <mergeCell ref="C54:C55"/>
    <mergeCell ref="E48:E49"/>
    <mergeCell ref="F48:F49"/>
    <mergeCell ref="F50:F53"/>
    <mergeCell ref="A85:A86"/>
    <mergeCell ref="B85:B86"/>
    <mergeCell ref="C85:C86"/>
    <mergeCell ref="D85:D86"/>
    <mergeCell ref="E85:E86"/>
    <mergeCell ref="F85:F86"/>
    <mergeCell ref="A50:A53"/>
    <mergeCell ref="H59:H62"/>
    <mergeCell ref="I59:I62"/>
    <mergeCell ref="J59:J62"/>
    <mergeCell ref="L59:L62"/>
    <mergeCell ref="L50:L53"/>
    <mergeCell ref="H50:H53"/>
    <mergeCell ref="I50:I53"/>
    <mergeCell ref="J50:J53"/>
    <mergeCell ref="J54:J55"/>
    <mergeCell ref="L54:L55"/>
    <mergeCell ref="C12:C13"/>
    <mergeCell ref="I14:I15"/>
    <mergeCell ref="B19:B20"/>
    <mergeCell ref="C19:C20"/>
    <mergeCell ref="D19:D20"/>
    <mergeCell ref="F17:F18"/>
    <mergeCell ref="G14:G15"/>
    <mergeCell ref="H14:H15"/>
    <mergeCell ref="F14:F15"/>
    <mergeCell ref="A29:A30"/>
    <mergeCell ref="B29:B30"/>
    <mergeCell ref="C29:C30"/>
    <mergeCell ref="A6:E6"/>
    <mergeCell ref="F6:F7"/>
    <mergeCell ref="G6:G7"/>
    <mergeCell ref="A19:A20"/>
    <mergeCell ref="E19:E20"/>
    <mergeCell ref="F19:F20"/>
    <mergeCell ref="G19:G20"/>
    <mergeCell ref="D80:D82"/>
    <mergeCell ref="H72:H75"/>
    <mergeCell ref="I72:I75"/>
    <mergeCell ref="J72:J75"/>
    <mergeCell ref="I78:I79"/>
    <mergeCell ref="J78:J79"/>
    <mergeCell ref="J76:J77"/>
    <mergeCell ref="G72:G75"/>
    <mergeCell ref="H76:H77"/>
    <mergeCell ref="I76:I77"/>
    <mergeCell ref="L80:L82"/>
    <mergeCell ref="G80:G82"/>
    <mergeCell ref="E80:E82"/>
    <mergeCell ref="A80:A82"/>
    <mergeCell ref="B80:B82"/>
    <mergeCell ref="I80:I82"/>
    <mergeCell ref="J80:J82"/>
    <mergeCell ref="H80:H82"/>
    <mergeCell ref="F80:F82"/>
    <mergeCell ref="C80:C82"/>
    <mergeCell ref="Q17:Q18"/>
    <mergeCell ref="A2:Q2"/>
    <mergeCell ref="M6:O6"/>
    <mergeCell ref="A17:A18"/>
    <mergeCell ref="B17:B18"/>
    <mergeCell ref="C17:C18"/>
    <mergeCell ref="D17:D18"/>
    <mergeCell ref="M17:M18"/>
    <mergeCell ref="H17:H18"/>
    <mergeCell ref="H6:L6"/>
    <mergeCell ref="O17:O18"/>
    <mergeCell ref="N17:N18"/>
    <mergeCell ref="P6:Q6"/>
    <mergeCell ref="D12:D13"/>
    <mergeCell ref="E12:E13"/>
    <mergeCell ref="F12:F13"/>
    <mergeCell ref="G17:G18"/>
    <mergeCell ref="L17:L18"/>
    <mergeCell ref="K17:K18"/>
    <mergeCell ref="P17:P18"/>
    <mergeCell ref="H46:H47"/>
    <mergeCell ref="I46:I47"/>
    <mergeCell ref="J46:J47"/>
    <mergeCell ref="L46:L47"/>
    <mergeCell ref="I17:I18"/>
    <mergeCell ref="J17:J18"/>
    <mergeCell ref="H19:H20"/>
    <mergeCell ref="I19:I20"/>
    <mergeCell ref="J19:J20"/>
    <mergeCell ref="H42:H44"/>
    <mergeCell ref="A48:A49"/>
    <mergeCell ref="B48:B49"/>
    <mergeCell ref="A12:A13"/>
    <mergeCell ref="A69:A71"/>
    <mergeCell ref="B69:B71"/>
    <mergeCell ref="C69:C71"/>
    <mergeCell ref="A14:A15"/>
    <mergeCell ref="B14:B15"/>
    <mergeCell ref="C14:C15"/>
    <mergeCell ref="A26:A28"/>
    <mergeCell ref="A8:A11"/>
    <mergeCell ref="B8:B11"/>
    <mergeCell ref="C8:C11"/>
    <mergeCell ref="D8:D11"/>
    <mergeCell ref="E8:E11"/>
    <mergeCell ref="D26:D28"/>
    <mergeCell ref="B26:B28"/>
    <mergeCell ref="D14:D15"/>
    <mergeCell ref="E14:E15"/>
    <mergeCell ref="B12:B13"/>
    <mergeCell ref="F8:F11"/>
    <mergeCell ref="D69:D71"/>
    <mergeCell ref="E69:E71"/>
    <mergeCell ref="F69:F71"/>
    <mergeCell ref="G50:G53"/>
    <mergeCell ref="F36:F41"/>
    <mergeCell ref="G46:G47"/>
    <mergeCell ref="G59:G62"/>
    <mergeCell ref="D59:D62"/>
    <mergeCell ref="E59:E62"/>
    <mergeCell ref="F59:F62"/>
    <mergeCell ref="B36:B41"/>
    <mergeCell ref="C36:C41"/>
    <mergeCell ref="D36:D41"/>
    <mergeCell ref="E36:E41"/>
    <mergeCell ref="E29:E30"/>
    <mergeCell ref="C48:C49"/>
    <mergeCell ref="D50:D53"/>
    <mergeCell ref="E50:E53"/>
    <mergeCell ref="D48:D49"/>
    <mergeCell ref="F26:F28"/>
    <mergeCell ref="G26:G28"/>
    <mergeCell ref="H26:H28"/>
    <mergeCell ref="A46:A47"/>
    <mergeCell ref="B46:B47"/>
    <mergeCell ref="C46:C47"/>
    <mergeCell ref="D46:D47"/>
    <mergeCell ref="E46:E47"/>
    <mergeCell ref="F46:F47"/>
    <mergeCell ref="A36:A41"/>
    <mergeCell ref="I26:I28"/>
    <mergeCell ref="J26:J28"/>
    <mergeCell ref="L26:L28"/>
    <mergeCell ref="C26:C28"/>
    <mergeCell ref="G31:G34"/>
    <mergeCell ref="H31:H34"/>
    <mergeCell ref="I31:I34"/>
    <mergeCell ref="J31:J34"/>
    <mergeCell ref="L31:L34"/>
    <mergeCell ref="E26:E28"/>
    <mergeCell ref="L42:L44"/>
    <mergeCell ref="A42:A44"/>
    <mergeCell ref="B42:B44"/>
    <mergeCell ref="C42:C44"/>
    <mergeCell ref="D42:D44"/>
    <mergeCell ref="E42:E44"/>
    <mergeCell ref="F42:F44"/>
    <mergeCell ref="G42:G44"/>
    <mergeCell ref="I42:I44"/>
    <mergeCell ref="J42:J44"/>
    <mergeCell ref="J14:J15"/>
    <mergeCell ref="L14:L15"/>
    <mergeCell ref="A72:A77"/>
    <mergeCell ref="B72:B77"/>
    <mergeCell ref="C72:C77"/>
    <mergeCell ref="D72:D77"/>
    <mergeCell ref="E72:E77"/>
    <mergeCell ref="F72:F77"/>
    <mergeCell ref="G76:G77"/>
    <mergeCell ref="L72:L77"/>
    <mergeCell ref="L78:L79"/>
    <mergeCell ref="A78:A79"/>
    <mergeCell ref="B78:B79"/>
    <mergeCell ref="C78:C79"/>
    <mergeCell ref="D78:D79"/>
    <mergeCell ref="E78:E79"/>
    <mergeCell ref="F78:F79"/>
    <mergeCell ref="A31:A34"/>
    <mergeCell ref="B31:B34"/>
    <mergeCell ref="C31:C34"/>
    <mergeCell ref="D31:D34"/>
    <mergeCell ref="E31:E34"/>
    <mergeCell ref="F31:F34"/>
  </mergeCells>
  <printOptions/>
  <pageMargins left="0.11811023622047245" right="0.11811023622047245" top="0.15748031496062992" bottom="0.15748031496062992"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Q64"/>
  <sheetViews>
    <sheetView zoomScalePageLayoutView="0" workbookViewId="0" topLeftCell="A1">
      <selection activeCell="M10" sqref="M10"/>
    </sheetView>
  </sheetViews>
  <sheetFormatPr defaultColWidth="9.140625" defaultRowHeight="15"/>
  <cols>
    <col min="1" max="1" width="4.7109375" style="0" customWidth="1"/>
    <col min="2" max="2" width="4.57421875" style="0" customWidth="1"/>
    <col min="3" max="3" width="22.00390625" style="0" customWidth="1"/>
    <col min="4" max="4" width="41.7109375" style="0" customWidth="1"/>
    <col min="5" max="5" width="18.7109375" style="0" customWidth="1"/>
    <col min="6" max="6" width="17.7109375" style="0" customWidth="1"/>
    <col min="7" max="7" width="15.8515625" style="0" customWidth="1"/>
  </cols>
  <sheetData>
    <row r="1" ht="15">
      <c r="G1" t="s">
        <v>288</v>
      </c>
    </row>
    <row r="2" spans="1:13" ht="38.25" customHeight="1">
      <c r="A2" s="391" t="s">
        <v>385</v>
      </c>
      <c r="B2" s="392"/>
      <c r="C2" s="392"/>
      <c r="D2" s="392"/>
      <c r="E2" s="392"/>
      <c r="F2" s="392"/>
      <c r="G2" s="392"/>
      <c r="H2" s="7"/>
      <c r="I2" s="7"/>
      <c r="J2" s="7"/>
      <c r="K2" s="7"/>
      <c r="L2" s="7"/>
      <c r="M2" s="7"/>
    </row>
    <row r="3" spans="1:17" ht="24" customHeight="1">
      <c r="A3" s="273" t="s">
        <v>467</v>
      </c>
      <c r="B3" s="382"/>
      <c r="C3" s="382"/>
      <c r="D3" s="382"/>
      <c r="E3" s="382"/>
      <c r="F3" s="382"/>
      <c r="G3" s="382"/>
      <c r="H3" s="382"/>
      <c r="I3" s="382"/>
      <c r="J3" s="382"/>
      <c r="K3" s="382"/>
      <c r="L3" s="382"/>
      <c r="M3" s="382"/>
      <c r="N3" s="382"/>
      <c r="O3" s="382"/>
      <c r="P3" s="382"/>
      <c r="Q3" s="382"/>
    </row>
    <row r="4" spans="1:17" ht="24.75" customHeight="1">
      <c r="A4" s="273" t="s">
        <v>287</v>
      </c>
      <c r="B4" s="382"/>
      <c r="C4" s="382"/>
      <c r="D4" s="382"/>
      <c r="E4" s="382"/>
      <c r="F4" s="382"/>
      <c r="G4" s="382"/>
      <c r="H4" s="382"/>
      <c r="I4" s="382"/>
      <c r="J4" s="382"/>
      <c r="K4" s="382"/>
      <c r="L4" s="382"/>
      <c r="M4" s="382"/>
      <c r="N4" s="382"/>
      <c r="O4" s="382"/>
      <c r="P4" s="382"/>
      <c r="Q4" s="382"/>
    </row>
    <row r="5" spans="1:7" ht="21" customHeight="1">
      <c r="A5" s="4"/>
      <c r="B5" s="4"/>
      <c r="C5" s="4"/>
      <c r="D5" s="4"/>
      <c r="E5" s="4"/>
      <c r="F5" s="4"/>
      <c r="G5" s="4"/>
    </row>
    <row r="6" spans="1:7" ht="26.25" customHeight="1">
      <c r="A6" s="394" t="s">
        <v>0</v>
      </c>
      <c r="B6" s="394"/>
      <c r="C6" s="397" t="s">
        <v>63</v>
      </c>
      <c r="D6" s="389" t="s">
        <v>64</v>
      </c>
      <c r="E6" s="389" t="s">
        <v>70</v>
      </c>
      <c r="F6" s="393"/>
      <c r="G6" s="389" t="s">
        <v>69</v>
      </c>
    </row>
    <row r="7" spans="1:7" ht="19.5" customHeight="1">
      <c r="A7" s="394"/>
      <c r="B7" s="394"/>
      <c r="C7" s="397"/>
      <c r="D7" s="389"/>
      <c r="E7" s="389" t="s">
        <v>67</v>
      </c>
      <c r="F7" s="389" t="s">
        <v>68</v>
      </c>
      <c r="G7" s="393"/>
    </row>
    <row r="8" spans="1:7" ht="20.25" customHeight="1">
      <c r="A8" s="8" t="s">
        <v>5</v>
      </c>
      <c r="B8" s="8" t="s">
        <v>6</v>
      </c>
      <c r="C8" s="397"/>
      <c r="D8" s="389"/>
      <c r="E8" s="389"/>
      <c r="F8" s="389"/>
      <c r="G8" s="393"/>
    </row>
    <row r="9" spans="1:7" s="14" customFormat="1" ht="15">
      <c r="A9" s="384" t="s">
        <v>18</v>
      </c>
      <c r="B9" s="320"/>
      <c r="C9" s="328" t="s">
        <v>65</v>
      </c>
      <c r="D9" s="30" t="s">
        <v>213</v>
      </c>
      <c r="E9" s="40">
        <f>E10+E15</f>
        <v>452276.61</v>
      </c>
      <c r="F9" s="40">
        <f>F10+F15</f>
        <v>33398.2</v>
      </c>
      <c r="G9" s="146">
        <f>F9/E9</f>
        <v>0.07384463238105547</v>
      </c>
    </row>
    <row r="10" spans="1:7" s="14" customFormat="1" ht="15">
      <c r="A10" s="341"/>
      <c r="B10" s="344"/>
      <c r="C10" s="329"/>
      <c r="D10" s="23" t="s">
        <v>214</v>
      </c>
      <c r="E10" s="41">
        <f>E12+E13+E14+E16</f>
        <v>452276.61</v>
      </c>
      <c r="F10" s="41">
        <f>F12+F13+F14+F16</f>
        <v>33398.2</v>
      </c>
      <c r="G10" s="148">
        <f>F10/E10</f>
        <v>0.07384463238105547</v>
      </c>
    </row>
    <row r="11" spans="1:7" s="14" customFormat="1" ht="15">
      <c r="A11" s="341"/>
      <c r="B11" s="344"/>
      <c r="C11" s="329"/>
      <c r="D11" s="147" t="s">
        <v>66</v>
      </c>
      <c r="E11" s="41"/>
      <c r="F11" s="41"/>
      <c r="G11" s="148"/>
    </row>
    <row r="12" spans="1:7" s="14" customFormat="1" ht="22.5">
      <c r="A12" s="341"/>
      <c r="B12" s="344"/>
      <c r="C12" s="329"/>
      <c r="D12" s="147" t="s">
        <v>215</v>
      </c>
      <c r="E12" s="41">
        <f>E28+E36+E44+E52+E60+E17</f>
        <v>145920.19999999998</v>
      </c>
      <c r="F12" s="41">
        <f>F28+F36+F44+F52+F60+F17</f>
        <v>31506</v>
      </c>
      <c r="G12" s="148">
        <f>F12/E12</f>
        <v>0.21591253301462035</v>
      </c>
    </row>
    <row r="13" spans="1:7" s="14" customFormat="1" ht="15">
      <c r="A13" s="341"/>
      <c r="B13" s="344"/>
      <c r="C13" s="329"/>
      <c r="D13" s="147" t="s">
        <v>311</v>
      </c>
      <c r="E13" s="41">
        <f>E29+E37+E45+E53+E61</f>
        <v>171396.51</v>
      </c>
      <c r="F13" s="41">
        <f>F29+F37+F45+F53+F61</f>
        <v>413.3</v>
      </c>
      <c r="G13" s="148">
        <f>F13/E13</f>
        <v>0.002411367652701913</v>
      </c>
    </row>
    <row r="14" spans="1:7" s="14" customFormat="1" ht="15">
      <c r="A14" s="341"/>
      <c r="B14" s="344"/>
      <c r="C14" s="329"/>
      <c r="D14" s="147" t="s">
        <v>310</v>
      </c>
      <c r="E14" s="41">
        <f>E30+E38+E46+E54+E62</f>
        <v>134959.9</v>
      </c>
      <c r="F14" s="41">
        <f>F30+F38+F46+F54+F62</f>
        <v>1478.9</v>
      </c>
      <c r="G14" s="148">
        <f>F14/E14</f>
        <v>0.010958069767390166</v>
      </c>
    </row>
    <row r="15" spans="1:7" s="14" customFormat="1" ht="33.75">
      <c r="A15" s="341"/>
      <c r="B15" s="344"/>
      <c r="C15" s="329"/>
      <c r="D15" s="23" t="s">
        <v>312</v>
      </c>
      <c r="E15" s="41"/>
      <c r="F15" s="41"/>
      <c r="G15" s="148"/>
    </row>
    <row r="16" spans="1:7" s="14" customFormat="1" ht="15">
      <c r="A16" s="385"/>
      <c r="B16" s="390"/>
      <c r="C16" s="386"/>
      <c r="D16" s="23" t="s">
        <v>218</v>
      </c>
      <c r="E16" s="41"/>
      <c r="F16" s="41"/>
      <c r="G16" s="148"/>
    </row>
    <row r="17" spans="1:7" s="14" customFormat="1" ht="15" customHeight="1">
      <c r="A17" s="384" t="s">
        <v>18</v>
      </c>
      <c r="B17" s="384" t="s">
        <v>19</v>
      </c>
      <c r="C17" s="328" t="s">
        <v>184</v>
      </c>
      <c r="D17" s="30" t="s">
        <v>213</v>
      </c>
      <c r="E17" s="40">
        <f>E18+E23+E24</f>
        <v>2476.75</v>
      </c>
      <c r="F17" s="40">
        <f>F18+F23+F24</f>
        <v>0</v>
      </c>
      <c r="G17" s="146">
        <v>0</v>
      </c>
    </row>
    <row r="18" spans="1:7" s="14" customFormat="1" ht="15">
      <c r="A18" s="341"/>
      <c r="B18" s="341"/>
      <c r="C18" s="329"/>
      <c r="D18" s="23" t="s">
        <v>214</v>
      </c>
      <c r="E18" s="41">
        <f>E20</f>
        <v>2476.75</v>
      </c>
      <c r="F18" s="41">
        <f>F20</f>
        <v>0</v>
      </c>
      <c r="G18" s="148">
        <v>0</v>
      </c>
    </row>
    <row r="19" spans="1:7" s="14" customFormat="1" ht="15">
      <c r="A19" s="341"/>
      <c r="B19" s="341"/>
      <c r="C19" s="329"/>
      <c r="D19" s="147" t="s">
        <v>66</v>
      </c>
      <c r="E19" s="41"/>
      <c r="F19" s="41"/>
      <c r="G19" s="41"/>
    </row>
    <row r="20" spans="1:7" s="14" customFormat="1" ht="22.5">
      <c r="A20" s="341"/>
      <c r="B20" s="341"/>
      <c r="C20" s="329"/>
      <c r="D20" s="147" t="s">
        <v>215</v>
      </c>
      <c r="E20" s="41">
        <v>2476.75</v>
      </c>
      <c r="F20" s="41">
        <v>0</v>
      </c>
      <c r="G20" s="148">
        <v>0</v>
      </c>
    </row>
    <row r="21" spans="1:7" s="14" customFormat="1" ht="15">
      <c r="A21" s="341"/>
      <c r="B21" s="341"/>
      <c r="C21" s="329"/>
      <c r="D21" s="147" t="s">
        <v>386</v>
      </c>
      <c r="E21" s="41"/>
      <c r="F21" s="41"/>
      <c r="G21" s="41"/>
    </row>
    <row r="22" spans="1:7" s="14" customFormat="1" ht="15">
      <c r="A22" s="341"/>
      <c r="B22" s="341"/>
      <c r="C22" s="329"/>
      <c r="D22" s="147" t="s">
        <v>216</v>
      </c>
      <c r="E22" s="41"/>
      <c r="F22" s="41"/>
      <c r="G22" s="41"/>
    </row>
    <row r="23" spans="1:7" s="14" customFormat="1" ht="33.75">
      <c r="A23" s="341"/>
      <c r="B23" s="341"/>
      <c r="C23" s="329"/>
      <c r="D23" s="23" t="s">
        <v>217</v>
      </c>
      <c r="E23" s="41"/>
      <c r="F23" s="41"/>
      <c r="G23" s="41"/>
    </row>
    <row r="24" spans="1:7" s="14" customFormat="1" ht="15">
      <c r="A24" s="385"/>
      <c r="B24" s="385"/>
      <c r="C24" s="386"/>
      <c r="D24" s="23" t="s">
        <v>218</v>
      </c>
      <c r="E24" s="41">
        <v>0</v>
      </c>
      <c r="F24" s="41">
        <v>0</v>
      </c>
      <c r="G24" s="148">
        <v>0</v>
      </c>
    </row>
    <row r="25" spans="1:13" ht="33.75" customHeight="1">
      <c r="A25" s="375" t="s">
        <v>18</v>
      </c>
      <c r="B25" s="387" t="s">
        <v>23</v>
      </c>
      <c r="C25" s="388" t="s">
        <v>24</v>
      </c>
      <c r="D25" s="205" t="s">
        <v>213</v>
      </c>
      <c r="E25" s="206">
        <f>E28+E29+E31+E30+0.004</f>
        <v>155901.06399999998</v>
      </c>
      <c r="F25" s="206">
        <f>F28+F29+F31+F30</f>
        <v>2559.95</v>
      </c>
      <c r="G25" s="146">
        <f>F25/E25</f>
        <v>0.016420349767465345</v>
      </c>
      <c r="H25" s="9"/>
      <c r="I25" s="9"/>
      <c r="J25" s="9"/>
      <c r="K25" s="9"/>
      <c r="L25" s="9"/>
      <c r="M25" s="9"/>
    </row>
    <row r="26" spans="1:13" ht="15">
      <c r="A26" s="375"/>
      <c r="B26" s="387"/>
      <c r="C26" s="388"/>
      <c r="D26" s="91" t="s">
        <v>214</v>
      </c>
      <c r="E26" s="50">
        <f>E28+E29</f>
        <v>22648.959999999985</v>
      </c>
      <c r="F26" s="50">
        <f>F28+F29</f>
        <v>1081.0499999999995</v>
      </c>
      <c r="G26" s="148">
        <f>F26/E26</f>
        <v>0.04773066842804262</v>
      </c>
      <c r="H26" s="10">
        <v>1.05</v>
      </c>
      <c r="I26" s="9"/>
      <c r="J26" s="9"/>
      <c r="K26" s="9"/>
      <c r="L26" s="9"/>
      <c r="M26" s="9"/>
    </row>
    <row r="27" spans="1:13" ht="15">
      <c r="A27" s="375"/>
      <c r="B27" s="387"/>
      <c r="C27" s="388"/>
      <c r="D27" s="207" t="s">
        <v>66</v>
      </c>
      <c r="E27" s="50"/>
      <c r="F27" s="50"/>
      <c r="G27" s="148"/>
      <c r="H27" s="10"/>
      <c r="I27" s="9"/>
      <c r="J27" s="9"/>
      <c r="K27" s="9"/>
      <c r="L27" s="9"/>
      <c r="M27" s="9"/>
    </row>
    <row r="28" spans="1:13" ht="25.5" customHeight="1">
      <c r="A28" s="375"/>
      <c r="B28" s="387"/>
      <c r="C28" s="388"/>
      <c r="D28" s="207" t="s">
        <v>215</v>
      </c>
      <c r="E28" s="50">
        <f>155901.06-E29-E30</f>
        <v>17713.359999999986</v>
      </c>
      <c r="F28" s="50">
        <f>2559.95-F29-F30</f>
        <v>667.7499999999995</v>
      </c>
      <c r="G28" s="148">
        <f>F28/E28</f>
        <v>0.03769753451631989</v>
      </c>
      <c r="H28" s="10">
        <v>1.05</v>
      </c>
      <c r="I28" s="9"/>
      <c r="J28" s="9"/>
      <c r="K28" s="9"/>
      <c r="L28" s="9"/>
      <c r="M28" s="9"/>
    </row>
    <row r="29" spans="1:13" ht="15">
      <c r="A29" s="375"/>
      <c r="B29" s="387"/>
      <c r="C29" s="388"/>
      <c r="D29" s="207" t="s">
        <v>386</v>
      </c>
      <c r="E29" s="50">
        <f>814.4+4121.2</f>
        <v>4935.599999999999</v>
      </c>
      <c r="F29" s="50">
        <f>367.6+45.7</f>
        <v>413.3</v>
      </c>
      <c r="G29" s="148">
        <f>F29/E29</f>
        <v>0.08373855255693331</v>
      </c>
      <c r="H29" s="9"/>
      <c r="I29" s="9"/>
      <c r="J29" s="9"/>
      <c r="K29" s="9"/>
      <c r="L29" s="9"/>
      <c r="M29" s="9"/>
    </row>
    <row r="30" spans="1:13" s="14" customFormat="1" ht="15">
      <c r="A30" s="375"/>
      <c r="B30" s="387"/>
      <c r="C30" s="388"/>
      <c r="D30" s="207" t="s">
        <v>216</v>
      </c>
      <c r="E30" s="39">
        <f>133252.1</f>
        <v>133252.1</v>
      </c>
      <c r="F30" s="39">
        <v>1478.9</v>
      </c>
      <c r="G30" s="148">
        <f>F30/E30</f>
        <v>0.011098511768294834</v>
      </c>
      <c r="H30" s="56"/>
      <c r="I30" s="56"/>
      <c r="J30" s="56"/>
      <c r="K30" s="56"/>
      <c r="L30" s="56"/>
      <c r="M30" s="56"/>
    </row>
    <row r="31" spans="1:13" s="14" customFormat="1" ht="33.75">
      <c r="A31" s="375"/>
      <c r="B31" s="387"/>
      <c r="C31" s="388"/>
      <c r="D31" s="91" t="s">
        <v>217</v>
      </c>
      <c r="E31" s="50"/>
      <c r="F31" s="50"/>
      <c r="G31" s="148"/>
      <c r="H31" s="56"/>
      <c r="I31" s="56"/>
      <c r="J31" s="56"/>
      <c r="K31" s="56"/>
      <c r="L31" s="56"/>
      <c r="M31" s="56"/>
    </row>
    <row r="32" spans="1:7" ht="15">
      <c r="A32" s="375"/>
      <c r="B32" s="387"/>
      <c r="C32" s="388"/>
      <c r="D32" s="91" t="s">
        <v>218</v>
      </c>
      <c r="E32" s="50"/>
      <c r="F32" s="50"/>
      <c r="G32" s="50"/>
    </row>
    <row r="33" spans="1:7" s="14" customFormat="1" ht="15">
      <c r="A33" s="327" t="s">
        <v>18</v>
      </c>
      <c r="B33" s="387" t="s">
        <v>26</v>
      </c>
      <c r="C33" s="395" t="s">
        <v>42</v>
      </c>
      <c r="D33" s="205" t="s">
        <v>213</v>
      </c>
      <c r="E33" s="49">
        <f>E34+E39+E40</f>
        <v>36703.58</v>
      </c>
      <c r="F33" s="49">
        <f>F34+F39+F40</f>
        <v>3676.27</v>
      </c>
      <c r="G33" s="146">
        <f>F33/E33</f>
        <v>0.1001610742058404</v>
      </c>
    </row>
    <row r="34" spans="1:7" s="14" customFormat="1" ht="15">
      <c r="A34" s="327"/>
      <c r="B34" s="387"/>
      <c r="C34" s="396"/>
      <c r="D34" s="91" t="s">
        <v>214</v>
      </c>
      <c r="E34" s="50">
        <f>E36+E37+E38</f>
        <v>36703.58</v>
      </c>
      <c r="F34" s="50">
        <f>F36+F37+F38</f>
        <v>3676.27</v>
      </c>
      <c r="G34" s="148">
        <f>F34/E34</f>
        <v>0.1001610742058404</v>
      </c>
    </row>
    <row r="35" spans="1:7" s="14" customFormat="1" ht="15">
      <c r="A35" s="327"/>
      <c r="B35" s="387"/>
      <c r="C35" s="396"/>
      <c r="D35" s="207" t="s">
        <v>66</v>
      </c>
      <c r="E35" s="50"/>
      <c r="F35" s="50"/>
      <c r="G35" s="148"/>
    </row>
    <row r="36" spans="1:7" s="14" customFormat="1" ht="22.5">
      <c r="A36" s="327"/>
      <c r="B36" s="387"/>
      <c r="C36" s="396"/>
      <c r="D36" s="207" t="s">
        <v>215</v>
      </c>
      <c r="E36" s="50">
        <f>36703.58-E37-E38</f>
        <v>25994.58</v>
      </c>
      <c r="F36" s="50">
        <f>3676.27-F37-F38</f>
        <v>3676.27</v>
      </c>
      <c r="G36" s="148">
        <f>F36/E36</f>
        <v>0.14142448156500315</v>
      </c>
    </row>
    <row r="37" spans="1:7" s="14" customFormat="1" ht="15">
      <c r="A37" s="327"/>
      <c r="B37" s="387"/>
      <c r="C37" s="396"/>
      <c r="D37" s="207" t="s">
        <v>386</v>
      </c>
      <c r="E37" s="50">
        <f>3875+6834</f>
        <v>10709</v>
      </c>
      <c r="F37" s="50">
        <v>0</v>
      </c>
      <c r="G37" s="148">
        <f>F37/E37</f>
        <v>0</v>
      </c>
    </row>
    <row r="38" spans="1:7" s="14" customFormat="1" ht="15">
      <c r="A38" s="327"/>
      <c r="B38" s="387"/>
      <c r="C38" s="396"/>
      <c r="D38" s="207" t="s">
        <v>216</v>
      </c>
      <c r="E38" s="50"/>
      <c r="F38" s="50"/>
      <c r="G38" s="148"/>
    </row>
    <row r="39" spans="1:7" s="14" customFormat="1" ht="33.75">
      <c r="A39" s="327"/>
      <c r="B39" s="387"/>
      <c r="C39" s="396"/>
      <c r="D39" s="91" t="s">
        <v>217</v>
      </c>
      <c r="E39" s="50"/>
      <c r="F39" s="50"/>
      <c r="G39" s="50"/>
    </row>
    <row r="40" spans="1:7" s="14" customFormat="1" ht="15">
      <c r="A40" s="327"/>
      <c r="B40" s="387"/>
      <c r="C40" s="396"/>
      <c r="D40" s="91" t="s">
        <v>218</v>
      </c>
      <c r="E40" s="50">
        <v>0</v>
      </c>
      <c r="F40" s="50">
        <v>0</v>
      </c>
      <c r="G40" s="50">
        <v>0</v>
      </c>
    </row>
    <row r="41" spans="1:7" s="14" customFormat="1" ht="15">
      <c r="A41" s="375" t="s">
        <v>18</v>
      </c>
      <c r="B41" s="387" t="s">
        <v>44</v>
      </c>
      <c r="C41" s="388" t="s">
        <v>45</v>
      </c>
      <c r="D41" s="205" t="s">
        <v>213</v>
      </c>
      <c r="E41" s="149">
        <f>E42</f>
        <v>44841.29</v>
      </c>
      <c r="F41" s="49">
        <f>F42</f>
        <v>14111.08</v>
      </c>
      <c r="G41" s="146">
        <f aca="true" t="shared" si="0" ref="G41:G60">F41/E41</f>
        <v>0.31468943021041546</v>
      </c>
    </row>
    <row r="42" spans="1:7" s="14" customFormat="1" ht="15">
      <c r="A42" s="375"/>
      <c r="B42" s="387"/>
      <c r="C42" s="388"/>
      <c r="D42" s="91" t="s">
        <v>214</v>
      </c>
      <c r="E42" s="50">
        <f>SUM(E44:E48)</f>
        <v>44841.29</v>
      </c>
      <c r="F42" s="50">
        <f>SUM(F44:F48)</f>
        <v>14111.08</v>
      </c>
      <c r="G42" s="148">
        <f t="shared" si="0"/>
        <v>0.31468943021041546</v>
      </c>
    </row>
    <row r="43" spans="1:7" s="14" customFormat="1" ht="15">
      <c r="A43" s="375"/>
      <c r="B43" s="387"/>
      <c r="C43" s="388"/>
      <c r="D43" s="207" t="s">
        <v>66</v>
      </c>
      <c r="E43" s="150"/>
      <c r="F43" s="50"/>
      <c r="G43" s="148"/>
    </row>
    <row r="44" spans="1:7" s="14" customFormat="1" ht="22.5">
      <c r="A44" s="375"/>
      <c r="B44" s="387"/>
      <c r="C44" s="388"/>
      <c r="D44" s="207" t="s">
        <v>215</v>
      </c>
      <c r="E44" s="28">
        <f>44841.29-E45</f>
        <v>43668.79</v>
      </c>
      <c r="F44" s="150">
        <f>14111.08-F45</f>
        <v>14111.08</v>
      </c>
      <c r="G44" s="148">
        <f t="shared" si="0"/>
        <v>0.32313879088474856</v>
      </c>
    </row>
    <row r="45" spans="1:7" s="14" customFormat="1" ht="15">
      <c r="A45" s="375"/>
      <c r="B45" s="387"/>
      <c r="C45" s="388"/>
      <c r="D45" s="207" t="s">
        <v>386</v>
      </c>
      <c r="E45" s="151">
        <v>1172.5</v>
      </c>
      <c r="F45" s="50">
        <v>0</v>
      </c>
      <c r="G45" s="148">
        <f t="shared" si="0"/>
        <v>0</v>
      </c>
    </row>
    <row r="46" spans="1:7" s="14" customFormat="1" ht="15">
      <c r="A46" s="375"/>
      <c r="B46" s="387"/>
      <c r="C46" s="388"/>
      <c r="D46" s="207" t="s">
        <v>216</v>
      </c>
      <c r="E46" s="152"/>
      <c r="F46" s="208"/>
      <c r="G46" s="148"/>
    </row>
    <row r="47" spans="1:7" s="14" customFormat="1" ht="33.75">
      <c r="A47" s="375"/>
      <c r="B47" s="387"/>
      <c r="C47" s="388"/>
      <c r="D47" s="91" t="s">
        <v>217</v>
      </c>
      <c r="E47" s="152"/>
      <c r="F47" s="50"/>
      <c r="G47" s="148"/>
    </row>
    <row r="48" spans="1:7" s="14" customFormat="1" ht="15">
      <c r="A48" s="375"/>
      <c r="B48" s="387"/>
      <c r="C48" s="388"/>
      <c r="D48" s="91" t="s">
        <v>218</v>
      </c>
      <c r="E48" s="152"/>
      <c r="F48" s="152"/>
      <c r="G48" s="148"/>
    </row>
    <row r="49" spans="1:7" s="14" customFormat="1" ht="15" customHeight="1">
      <c r="A49" s="375" t="s">
        <v>18</v>
      </c>
      <c r="B49" s="387" t="s">
        <v>52</v>
      </c>
      <c r="C49" s="398" t="str">
        <f>'[1]5'!$F$63</f>
        <v>Развитие транспортной системы (организация транспортного обслуживания населения, развитие дорожного хозяйства)</v>
      </c>
      <c r="D49" s="205" t="s">
        <v>213</v>
      </c>
      <c r="E49" s="149">
        <f>E50+E55+E56</f>
        <v>204607.82999999996</v>
      </c>
      <c r="F49" s="149">
        <f>F50+F55+F56</f>
        <v>8569.57</v>
      </c>
      <c r="G49" s="146">
        <f t="shared" si="0"/>
        <v>0.04188290350374178</v>
      </c>
    </row>
    <row r="50" spans="1:7" s="14" customFormat="1" ht="15" customHeight="1">
      <c r="A50" s="375"/>
      <c r="B50" s="387"/>
      <c r="C50" s="399"/>
      <c r="D50" s="91" t="s">
        <v>214</v>
      </c>
      <c r="E50" s="152">
        <f>E52+E53+E54</f>
        <v>204607.82999999996</v>
      </c>
      <c r="F50" s="152">
        <f>F52+F53+F54</f>
        <v>8569.57</v>
      </c>
      <c r="G50" s="148">
        <f t="shared" si="0"/>
        <v>0.04188290350374178</v>
      </c>
    </row>
    <row r="51" spans="1:7" s="14" customFormat="1" ht="15" customHeight="1">
      <c r="A51" s="375"/>
      <c r="B51" s="387"/>
      <c r="C51" s="399"/>
      <c r="D51" s="207" t="s">
        <v>66</v>
      </c>
      <c r="E51" s="150"/>
      <c r="F51" s="150"/>
      <c r="G51" s="148"/>
    </row>
    <row r="52" spans="1:7" s="14" customFormat="1" ht="25.5" customHeight="1">
      <c r="A52" s="375"/>
      <c r="B52" s="387"/>
      <c r="C52" s="399"/>
      <c r="D52" s="207" t="s">
        <v>215</v>
      </c>
      <c r="E52" s="28">
        <f>204607.83-E53-E54</f>
        <v>48320.61999999998</v>
      </c>
      <c r="F52" s="28">
        <f>8569.57-F53-F54</f>
        <v>8569.57</v>
      </c>
      <c r="G52" s="148">
        <f t="shared" si="0"/>
        <v>0.1773480969408092</v>
      </c>
    </row>
    <row r="53" spans="1:7" s="14" customFormat="1" ht="15" customHeight="1">
      <c r="A53" s="375"/>
      <c r="B53" s="387"/>
      <c r="C53" s="399"/>
      <c r="D53" s="207" t="s">
        <v>386</v>
      </c>
      <c r="E53" s="151">
        <f>2087.91+7000+145491.5</f>
        <v>154579.41</v>
      </c>
      <c r="F53" s="151">
        <v>0</v>
      </c>
      <c r="G53" s="148">
        <f t="shared" si="0"/>
        <v>0</v>
      </c>
    </row>
    <row r="54" spans="1:7" s="14" customFormat="1" ht="23.25" customHeight="1">
      <c r="A54" s="375"/>
      <c r="B54" s="387"/>
      <c r="C54" s="399"/>
      <c r="D54" s="207" t="s">
        <v>216</v>
      </c>
      <c r="E54" s="152">
        <f>1707.8</f>
        <v>1707.8</v>
      </c>
      <c r="F54" s="152">
        <v>0</v>
      </c>
      <c r="G54" s="148">
        <f t="shared" si="0"/>
        <v>0</v>
      </c>
    </row>
    <row r="55" spans="1:7" s="14" customFormat="1" ht="22.5" customHeight="1">
      <c r="A55" s="375"/>
      <c r="B55" s="387"/>
      <c r="C55" s="399"/>
      <c r="D55" s="91" t="s">
        <v>217</v>
      </c>
      <c r="E55" s="152"/>
      <c r="F55" s="152"/>
      <c r="G55" s="148"/>
    </row>
    <row r="56" spans="1:7" s="14" customFormat="1" ht="23.25" customHeight="1">
      <c r="A56" s="375"/>
      <c r="B56" s="387"/>
      <c r="C56" s="399"/>
      <c r="D56" s="91" t="s">
        <v>218</v>
      </c>
      <c r="E56" s="152"/>
      <c r="F56" s="152"/>
      <c r="G56" s="148"/>
    </row>
    <row r="57" spans="1:7" s="14" customFormat="1" ht="15">
      <c r="A57" s="387" t="s">
        <v>18</v>
      </c>
      <c r="B57" s="387" t="s">
        <v>56</v>
      </c>
      <c r="C57" s="401" t="s">
        <v>57</v>
      </c>
      <c r="D57" s="205" t="s">
        <v>213</v>
      </c>
      <c r="E57" s="49">
        <f>E58</f>
        <v>7746.1</v>
      </c>
      <c r="F57" s="49">
        <f>F58</f>
        <v>4481.33</v>
      </c>
      <c r="G57" s="146">
        <f t="shared" si="0"/>
        <v>0.5785272588786615</v>
      </c>
    </row>
    <row r="58" spans="1:7" s="14" customFormat="1" ht="15">
      <c r="A58" s="387"/>
      <c r="B58" s="387"/>
      <c r="C58" s="401"/>
      <c r="D58" s="91" t="s">
        <v>214</v>
      </c>
      <c r="E58" s="50">
        <f>E60+E61</f>
        <v>7746.1</v>
      </c>
      <c r="F58" s="50">
        <f>F60+F61</f>
        <v>4481.33</v>
      </c>
      <c r="G58" s="148">
        <f t="shared" si="0"/>
        <v>0.5785272588786615</v>
      </c>
    </row>
    <row r="59" spans="1:7" s="14" customFormat="1" ht="15">
      <c r="A59" s="387"/>
      <c r="B59" s="387"/>
      <c r="C59" s="401"/>
      <c r="D59" s="207" t="s">
        <v>66</v>
      </c>
      <c r="E59" s="50"/>
      <c r="F59" s="50"/>
      <c r="G59" s="148"/>
    </row>
    <row r="60" spans="1:7" s="14" customFormat="1" ht="22.5">
      <c r="A60" s="387"/>
      <c r="B60" s="387"/>
      <c r="C60" s="402"/>
      <c r="D60" s="207" t="s">
        <v>215</v>
      </c>
      <c r="E60" s="50">
        <v>7746.1</v>
      </c>
      <c r="F60" s="50">
        <v>4481.33</v>
      </c>
      <c r="G60" s="148">
        <f t="shared" si="0"/>
        <v>0.5785272588786615</v>
      </c>
    </row>
    <row r="61" spans="1:7" s="14" customFormat="1" ht="15">
      <c r="A61" s="387"/>
      <c r="B61" s="387"/>
      <c r="C61" s="402"/>
      <c r="D61" s="207" t="s">
        <v>386</v>
      </c>
      <c r="E61" s="209">
        <v>0</v>
      </c>
      <c r="F61" s="209">
        <v>0</v>
      </c>
      <c r="G61" s="148">
        <v>0</v>
      </c>
    </row>
    <row r="62" spans="1:7" s="14" customFormat="1" ht="15">
      <c r="A62" s="282"/>
      <c r="B62" s="400"/>
      <c r="C62" s="400"/>
      <c r="D62" s="207" t="s">
        <v>216</v>
      </c>
      <c r="E62" s="210"/>
      <c r="F62" s="210"/>
      <c r="G62" s="210"/>
    </row>
    <row r="63" spans="1:7" s="14" customFormat="1" ht="33.75">
      <c r="A63" s="282"/>
      <c r="B63" s="400"/>
      <c r="C63" s="400"/>
      <c r="D63" s="91" t="s">
        <v>217</v>
      </c>
      <c r="E63" s="210"/>
      <c r="F63" s="210"/>
      <c r="G63" s="210"/>
    </row>
    <row r="64" spans="1:7" s="14" customFormat="1" ht="15">
      <c r="A64" s="282"/>
      <c r="B64" s="400"/>
      <c r="C64" s="400"/>
      <c r="D64" s="91" t="s">
        <v>218</v>
      </c>
      <c r="E64" s="210"/>
      <c r="F64" s="210"/>
      <c r="G64" s="210"/>
    </row>
  </sheetData>
  <sheetProtection/>
  <mergeCells count="31">
    <mergeCell ref="A49:A56"/>
    <mergeCell ref="B49:B56"/>
    <mergeCell ref="C49:C56"/>
    <mergeCell ref="A57:A64"/>
    <mergeCell ref="B57:B64"/>
    <mergeCell ref="C57:C64"/>
    <mergeCell ref="A2:G2"/>
    <mergeCell ref="E6:F6"/>
    <mergeCell ref="G6:G8"/>
    <mergeCell ref="C25:C32"/>
    <mergeCell ref="A33:A40"/>
    <mergeCell ref="A6:B7"/>
    <mergeCell ref="B33:B40"/>
    <mergeCell ref="C33:C40"/>
    <mergeCell ref="C6:C8"/>
    <mergeCell ref="A3:Q3"/>
    <mergeCell ref="B41:B48"/>
    <mergeCell ref="C41:C48"/>
    <mergeCell ref="A41:A48"/>
    <mergeCell ref="F7:F8"/>
    <mergeCell ref="A9:A16"/>
    <mergeCell ref="B9:B16"/>
    <mergeCell ref="C9:C16"/>
    <mergeCell ref="D6:D8"/>
    <mergeCell ref="E7:E8"/>
    <mergeCell ref="A4:Q4"/>
    <mergeCell ref="A17:A24"/>
    <mergeCell ref="B17:B24"/>
    <mergeCell ref="C17:C24"/>
    <mergeCell ref="A25:A32"/>
    <mergeCell ref="B25:B32"/>
  </mergeCells>
  <printOptions/>
  <pageMargins left="0.3937007874015748" right="0" top="0.15748031496062992" bottom="0.15748031496062992" header="0.31496062992125984" footer="0.31496062992125984"/>
  <pageSetup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dimension ref="A1:Q7"/>
  <sheetViews>
    <sheetView zoomScalePageLayoutView="0" workbookViewId="0" topLeftCell="A1">
      <selection activeCell="P14" sqref="P14"/>
    </sheetView>
  </sheetViews>
  <sheetFormatPr defaultColWidth="9.140625" defaultRowHeight="15"/>
  <cols>
    <col min="1" max="1" width="4.421875" style="0" customWidth="1"/>
    <col min="2" max="2" width="4.28125" style="0" customWidth="1"/>
    <col min="3" max="3" width="4.7109375" style="0" customWidth="1"/>
    <col min="4" max="4" width="29.140625" style="0" customWidth="1"/>
    <col min="5" max="5" width="33.28125" style="0" customWidth="1"/>
    <col min="6" max="6" width="11.00390625" style="0" customWidth="1"/>
    <col min="7" max="11" width="10.7109375" style="0" customWidth="1"/>
    <col min="17" max="17" width="7.57421875" style="0" customWidth="1"/>
  </cols>
  <sheetData>
    <row r="1" ht="15">
      <c r="K1" s="15" t="s">
        <v>182</v>
      </c>
    </row>
    <row r="2" spans="1:11" s="4" customFormat="1" ht="68.25" customHeight="1">
      <c r="A2" s="277" t="s">
        <v>374</v>
      </c>
      <c r="B2" s="277"/>
      <c r="C2" s="277"/>
      <c r="D2" s="277"/>
      <c r="E2" s="277"/>
      <c r="F2" s="277"/>
      <c r="G2" s="277"/>
      <c r="H2" s="277"/>
      <c r="I2" s="277"/>
      <c r="J2" s="277"/>
      <c r="K2" s="277"/>
    </row>
    <row r="3" spans="1:17" s="4" customFormat="1" ht="36.75" customHeight="1">
      <c r="A3" s="273" t="s">
        <v>520</v>
      </c>
      <c r="B3" s="382"/>
      <c r="C3" s="382"/>
      <c r="D3" s="382"/>
      <c r="E3" s="382"/>
      <c r="F3" s="382"/>
      <c r="G3" s="382"/>
      <c r="H3" s="382"/>
      <c r="I3" s="382"/>
      <c r="J3" s="382"/>
      <c r="K3" s="382"/>
      <c r="L3" s="382"/>
      <c r="M3" s="382"/>
      <c r="N3" s="382"/>
      <c r="O3" s="382"/>
      <c r="P3" s="382"/>
      <c r="Q3" s="382"/>
    </row>
    <row r="4" spans="1:17" s="4" customFormat="1" ht="13.5" customHeight="1">
      <c r="A4" s="273" t="s">
        <v>287</v>
      </c>
      <c r="B4" s="382"/>
      <c r="C4" s="382"/>
      <c r="D4" s="382"/>
      <c r="E4" s="382"/>
      <c r="F4" s="382"/>
      <c r="G4" s="382"/>
      <c r="H4" s="382"/>
      <c r="I4" s="382"/>
      <c r="J4" s="382"/>
      <c r="K4" s="382"/>
      <c r="L4" s="382"/>
      <c r="M4" s="382"/>
      <c r="N4" s="382"/>
      <c r="O4" s="382"/>
      <c r="P4" s="382"/>
      <c r="Q4" s="382"/>
    </row>
    <row r="7" spans="1:11" ht="15.75">
      <c r="A7" s="403" t="s">
        <v>373</v>
      </c>
      <c r="B7" s="404"/>
      <c r="C7" s="404"/>
      <c r="D7" s="404"/>
      <c r="E7" s="404"/>
      <c r="F7" s="404"/>
      <c r="G7" s="404"/>
      <c r="H7" s="404"/>
      <c r="I7" s="404"/>
      <c r="J7" s="404"/>
      <c r="K7" s="404"/>
    </row>
  </sheetData>
  <sheetProtection/>
  <mergeCells count="4">
    <mergeCell ref="A7:K7"/>
    <mergeCell ref="A2:K2"/>
    <mergeCell ref="A3:Q3"/>
    <mergeCell ref="A4:Q4"/>
  </mergeCells>
  <printOptions/>
  <pageMargins left="0.11811023622047245" right="0.11811023622047245" top="0.35433070866141736" bottom="0.3543307086614173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130"/>
  <sheetViews>
    <sheetView zoomScale="130" zoomScaleNormal="130" zoomScalePageLayoutView="0" workbookViewId="0" topLeftCell="A1">
      <selection activeCell="A4" sqref="A4:Q4"/>
    </sheetView>
  </sheetViews>
  <sheetFormatPr defaultColWidth="9.140625" defaultRowHeight="15"/>
  <cols>
    <col min="1" max="2" width="3.7109375" style="0" customWidth="1"/>
    <col min="3" max="3" width="3.8515625" style="0" customWidth="1"/>
    <col min="4" max="4" width="3.7109375" style="0" customWidth="1"/>
    <col min="5" max="5" width="34.28125" style="0" customWidth="1"/>
    <col min="6" max="6" width="15.8515625" style="0" customWidth="1"/>
    <col min="7" max="8" width="9.57421875" style="0" customWidth="1"/>
    <col min="9" max="9" width="28.7109375" style="0" customWidth="1"/>
    <col min="10" max="10" width="31.00390625" style="6" customWidth="1"/>
    <col min="11" max="11" width="17.28125" style="0" customWidth="1"/>
  </cols>
  <sheetData>
    <row r="1" ht="15">
      <c r="K1" s="15" t="s">
        <v>163</v>
      </c>
    </row>
    <row r="2" spans="1:11" s="11" customFormat="1" ht="27" customHeight="1">
      <c r="A2" s="277" t="s">
        <v>518</v>
      </c>
      <c r="B2" s="424"/>
      <c r="C2" s="424"/>
      <c r="D2" s="424"/>
      <c r="E2" s="424"/>
      <c r="F2" s="424"/>
      <c r="G2" s="424"/>
      <c r="H2" s="424"/>
      <c r="I2" s="424"/>
      <c r="J2" s="424"/>
      <c r="K2" s="425"/>
    </row>
    <row r="3" spans="1:17" s="11" customFormat="1" ht="27" customHeight="1">
      <c r="A3" s="273" t="s">
        <v>519</v>
      </c>
      <c r="B3" s="382"/>
      <c r="C3" s="382"/>
      <c r="D3" s="382"/>
      <c r="E3" s="382"/>
      <c r="F3" s="382"/>
      <c r="G3" s="382"/>
      <c r="H3" s="382"/>
      <c r="I3" s="382"/>
      <c r="J3" s="382"/>
      <c r="K3" s="382"/>
      <c r="L3" s="382"/>
      <c r="M3" s="382"/>
      <c r="N3" s="382"/>
      <c r="O3" s="382"/>
      <c r="P3" s="382"/>
      <c r="Q3" s="382"/>
    </row>
    <row r="4" spans="1:17" s="11" customFormat="1" ht="27" customHeight="1">
      <c r="A4" s="273" t="s">
        <v>287</v>
      </c>
      <c r="B4" s="382"/>
      <c r="C4" s="382"/>
      <c r="D4" s="382"/>
      <c r="E4" s="382"/>
      <c r="F4" s="382"/>
      <c r="G4" s="382"/>
      <c r="H4" s="382"/>
      <c r="I4" s="382"/>
      <c r="J4" s="382"/>
      <c r="K4" s="382"/>
      <c r="L4" s="382"/>
      <c r="M4" s="382"/>
      <c r="N4" s="382"/>
      <c r="O4" s="382"/>
      <c r="P4" s="382"/>
      <c r="Q4" s="382"/>
    </row>
    <row r="5" spans="1:11" s="11" customFormat="1" ht="15.75" customHeight="1">
      <c r="A5" s="426"/>
      <c r="B5" s="427"/>
      <c r="C5" s="427"/>
      <c r="D5" s="427"/>
      <c r="E5" s="427"/>
      <c r="F5" s="427"/>
      <c r="G5" s="427"/>
      <c r="H5" s="427"/>
      <c r="I5" s="427"/>
      <c r="J5" s="427"/>
      <c r="K5" s="428"/>
    </row>
    <row r="6" spans="1:11" ht="37.5" customHeight="1">
      <c r="A6" s="429" t="s">
        <v>0</v>
      </c>
      <c r="B6" s="429"/>
      <c r="C6" s="429"/>
      <c r="D6" s="429"/>
      <c r="E6" s="429" t="s">
        <v>72</v>
      </c>
      <c r="F6" s="429" t="s">
        <v>2</v>
      </c>
      <c r="G6" s="429" t="s">
        <v>73</v>
      </c>
      <c r="H6" s="429" t="s">
        <v>74</v>
      </c>
      <c r="I6" s="429" t="s">
        <v>75</v>
      </c>
      <c r="J6" s="429" t="s">
        <v>76</v>
      </c>
      <c r="K6" s="429" t="s">
        <v>77</v>
      </c>
    </row>
    <row r="7" spans="1:11" ht="18.75" customHeight="1">
      <c r="A7" s="12" t="s">
        <v>5</v>
      </c>
      <c r="B7" s="12" t="s">
        <v>6</v>
      </c>
      <c r="C7" s="12" t="s">
        <v>7</v>
      </c>
      <c r="D7" s="12" t="s">
        <v>8</v>
      </c>
      <c r="E7" s="429"/>
      <c r="F7" s="429"/>
      <c r="G7" s="429"/>
      <c r="H7" s="429"/>
      <c r="I7" s="429"/>
      <c r="J7" s="429"/>
      <c r="K7" s="429"/>
    </row>
    <row r="8" spans="1:11" ht="18.75" customHeight="1">
      <c r="A8" s="52" t="s">
        <v>18</v>
      </c>
      <c r="B8" s="52" t="s">
        <v>19</v>
      </c>
      <c r="C8" s="53"/>
      <c r="D8" s="53"/>
      <c r="E8" s="433" t="s">
        <v>186</v>
      </c>
      <c r="F8" s="434"/>
      <c r="G8" s="434"/>
      <c r="H8" s="434"/>
      <c r="I8" s="434"/>
      <c r="J8" s="435"/>
      <c r="K8" s="436"/>
    </row>
    <row r="9" spans="1:11" s="14" customFormat="1" ht="187.5" customHeight="1">
      <c r="A9" s="35" t="s">
        <v>18</v>
      </c>
      <c r="B9" s="35" t="s">
        <v>19</v>
      </c>
      <c r="C9" s="35" t="s">
        <v>20</v>
      </c>
      <c r="D9" s="35"/>
      <c r="E9" s="64" t="s">
        <v>387</v>
      </c>
      <c r="F9" s="36" t="s">
        <v>187</v>
      </c>
      <c r="G9" s="37" t="s">
        <v>388</v>
      </c>
      <c r="H9" s="37" t="s">
        <v>388</v>
      </c>
      <c r="I9" s="36" t="s">
        <v>389</v>
      </c>
      <c r="J9" s="211" t="s">
        <v>390</v>
      </c>
      <c r="K9" s="38"/>
    </row>
    <row r="10" spans="1:11" ht="84.75" customHeight="1">
      <c r="A10" s="45" t="s">
        <v>18</v>
      </c>
      <c r="B10" s="45" t="s">
        <v>19</v>
      </c>
      <c r="C10" s="45" t="s">
        <v>22</v>
      </c>
      <c r="D10" s="45"/>
      <c r="E10" s="64" t="s">
        <v>325</v>
      </c>
      <c r="F10" s="43" t="s">
        <v>187</v>
      </c>
      <c r="G10" s="37" t="s">
        <v>388</v>
      </c>
      <c r="H10" s="37" t="s">
        <v>388</v>
      </c>
      <c r="I10" s="43" t="s">
        <v>389</v>
      </c>
      <c r="J10" s="5"/>
      <c r="K10" s="5" t="s">
        <v>189</v>
      </c>
    </row>
    <row r="11" spans="1:11" ht="138" customHeight="1">
      <c r="A11" s="188" t="s">
        <v>18</v>
      </c>
      <c r="B11" s="45" t="s">
        <v>19</v>
      </c>
      <c r="C11" s="45" t="s">
        <v>22</v>
      </c>
      <c r="D11" s="45" t="s">
        <v>19</v>
      </c>
      <c r="E11" s="64" t="s">
        <v>391</v>
      </c>
      <c r="F11" s="43" t="s">
        <v>187</v>
      </c>
      <c r="G11" s="37" t="s">
        <v>388</v>
      </c>
      <c r="H11" s="37" t="s">
        <v>388</v>
      </c>
      <c r="I11" s="64" t="s">
        <v>393</v>
      </c>
      <c r="J11" s="5" t="s">
        <v>395</v>
      </c>
      <c r="K11" s="5"/>
    </row>
    <row r="12" spans="1:11" ht="118.5" customHeight="1">
      <c r="A12" s="35" t="s">
        <v>18</v>
      </c>
      <c r="B12" s="45" t="s">
        <v>19</v>
      </c>
      <c r="C12" s="45" t="s">
        <v>22</v>
      </c>
      <c r="D12" s="45" t="s">
        <v>23</v>
      </c>
      <c r="E12" s="64" t="s">
        <v>392</v>
      </c>
      <c r="F12" s="43" t="s">
        <v>187</v>
      </c>
      <c r="G12" s="37" t="s">
        <v>388</v>
      </c>
      <c r="H12" s="37" t="s">
        <v>388</v>
      </c>
      <c r="I12" s="64" t="s">
        <v>394</v>
      </c>
      <c r="J12" s="5" t="s">
        <v>396</v>
      </c>
      <c r="K12" s="5"/>
    </row>
    <row r="13" spans="1:11" ht="48" customHeight="1">
      <c r="A13" s="45" t="s">
        <v>18</v>
      </c>
      <c r="B13" s="45" t="s">
        <v>19</v>
      </c>
      <c r="C13" s="45" t="s">
        <v>43</v>
      </c>
      <c r="D13" s="45"/>
      <c r="E13" s="64" t="s">
        <v>397</v>
      </c>
      <c r="F13" s="64" t="s">
        <v>187</v>
      </c>
      <c r="G13" s="411" t="s">
        <v>388</v>
      </c>
      <c r="H13" s="411" t="s">
        <v>388</v>
      </c>
      <c r="I13" s="412" t="s">
        <v>399</v>
      </c>
      <c r="J13" s="26"/>
      <c r="K13" s="365" t="s">
        <v>190</v>
      </c>
    </row>
    <row r="14" spans="1:11" ht="48" customHeight="1">
      <c r="A14" s="45" t="s">
        <v>18</v>
      </c>
      <c r="B14" s="45" t="s">
        <v>19</v>
      </c>
      <c r="C14" s="45" t="s">
        <v>43</v>
      </c>
      <c r="D14" s="35" t="s">
        <v>19</v>
      </c>
      <c r="E14" s="64" t="s">
        <v>398</v>
      </c>
      <c r="F14" s="64" t="s">
        <v>187</v>
      </c>
      <c r="G14" s="289"/>
      <c r="H14" s="289"/>
      <c r="I14" s="413"/>
      <c r="J14" s="26"/>
      <c r="K14" s="414"/>
    </row>
    <row r="15" spans="1:11" ht="63" customHeight="1">
      <c r="A15" s="213" t="s">
        <v>18</v>
      </c>
      <c r="B15" s="213" t="s">
        <v>19</v>
      </c>
      <c r="C15" s="213" t="s">
        <v>21</v>
      </c>
      <c r="D15" s="213"/>
      <c r="E15" s="64" t="s">
        <v>400</v>
      </c>
      <c r="F15" s="64" t="s">
        <v>187</v>
      </c>
      <c r="G15" s="37" t="s">
        <v>388</v>
      </c>
      <c r="H15" s="37" t="s">
        <v>388</v>
      </c>
      <c r="I15" s="412" t="s">
        <v>394</v>
      </c>
      <c r="J15" s="215"/>
      <c r="K15" s="190"/>
    </row>
    <row r="16" spans="1:11" ht="162" customHeight="1">
      <c r="A16" s="213" t="s">
        <v>18</v>
      </c>
      <c r="B16" s="213" t="s">
        <v>19</v>
      </c>
      <c r="C16" s="213" t="s">
        <v>21</v>
      </c>
      <c r="D16" s="213" t="s">
        <v>19</v>
      </c>
      <c r="E16" s="64" t="s">
        <v>401</v>
      </c>
      <c r="F16" s="64" t="s">
        <v>187</v>
      </c>
      <c r="G16" s="37" t="s">
        <v>388</v>
      </c>
      <c r="H16" s="37" t="s">
        <v>388</v>
      </c>
      <c r="I16" s="316"/>
      <c r="J16" s="214" t="s">
        <v>404</v>
      </c>
      <c r="K16" s="190"/>
    </row>
    <row r="17" spans="1:11" ht="90" customHeight="1">
      <c r="A17" s="213" t="s">
        <v>18</v>
      </c>
      <c r="B17" s="213" t="s">
        <v>19</v>
      </c>
      <c r="C17" s="213" t="s">
        <v>21</v>
      </c>
      <c r="D17" s="75">
        <v>2</v>
      </c>
      <c r="E17" s="64" t="s">
        <v>402</v>
      </c>
      <c r="F17" s="64" t="s">
        <v>187</v>
      </c>
      <c r="G17" s="37" t="s">
        <v>388</v>
      </c>
      <c r="H17" s="37" t="s">
        <v>388</v>
      </c>
      <c r="I17" s="316"/>
      <c r="J17" s="186" t="s">
        <v>189</v>
      </c>
      <c r="K17" s="43" t="s">
        <v>405</v>
      </c>
    </row>
    <row r="18" spans="1:11" ht="42.75" customHeight="1">
      <c r="A18" s="213" t="s">
        <v>18</v>
      </c>
      <c r="B18" s="213" t="s">
        <v>19</v>
      </c>
      <c r="C18" s="213" t="s">
        <v>21</v>
      </c>
      <c r="D18" s="213" t="s">
        <v>26</v>
      </c>
      <c r="E18" s="64" t="s">
        <v>403</v>
      </c>
      <c r="F18" s="64" t="s">
        <v>187</v>
      </c>
      <c r="G18" s="37" t="s">
        <v>388</v>
      </c>
      <c r="H18" s="37" t="s">
        <v>388</v>
      </c>
      <c r="I18" s="317"/>
      <c r="J18" s="186" t="s">
        <v>189</v>
      </c>
      <c r="K18" s="43" t="s">
        <v>190</v>
      </c>
    </row>
    <row r="19" spans="1:11" ht="63.75" customHeight="1">
      <c r="A19" s="101" t="s">
        <v>18</v>
      </c>
      <c r="B19" s="101" t="s">
        <v>19</v>
      </c>
      <c r="C19" s="101" t="s">
        <v>25</v>
      </c>
      <c r="D19" s="101"/>
      <c r="E19" s="195" t="s">
        <v>328</v>
      </c>
      <c r="F19" s="195" t="s">
        <v>187</v>
      </c>
      <c r="G19" s="212" t="s">
        <v>388</v>
      </c>
      <c r="H19" s="212" t="s">
        <v>388</v>
      </c>
      <c r="I19" s="195" t="s">
        <v>406</v>
      </c>
      <c r="J19" s="216" t="s">
        <v>407</v>
      </c>
      <c r="K19" s="187" t="s">
        <v>189</v>
      </c>
    </row>
    <row r="20" spans="1:11" ht="168.75" customHeight="1">
      <c r="A20" s="101" t="s">
        <v>18</v>
      </c>
      <c r="B20" s="101" t="s">
        <v>19</v>
      </c>
      <c r="C20" s="101" t="s">
        <v>25</v>
      </c>
      <c r="D20" s="101" t="s">
        <v>19</v>
      </c>
      <c r="E20" s="43" t="s">
        <v>205</v>
      </c>
      <c r="F20" s="195" t="s">
        <v>187</v>
      </c>
      <c r="G20" s="212" t="s">
        <v>388</v>
      </c>
      <c r="H20" s="212" t="s">
        <v>388</v>
      </c>
      <c r="I20" s="195" t="s">
        <v>408</v>
      </c>
      <c r="J20" s="217" t="s">
        <v>409</v>
      </c>
      <c r="K20" s="38"/>
    </row>
    <row r="21" spans="1:11" ht="138.75" customHeight="1">
      <c r="A21" s="101" t="s">
        <v>18</v>
      </c>
      <c r="B21" s="101" t="s">
        <v>19</v>
      </c>
      <c r="C21" s="101" t="s">
        <v>25</v>
      </c>
      <c r="D21" s="101" t="s">
        <v>23</v>
      </c>
      <c r="E21" s="195" t="s">
        <v>410</v>
      </c>
      <c r="F21" s="195" t="s">
        <v>187</v>
      </c>
      <c r="G21" s="212" t="s">
        <v>388</v>
      </c>
      <c r="H21" s="212" t="s">
        <v>388</v>
      </c>
      <c r="I21" s="195" t="s">
        <v>408</v>
      </c>
      <c r="J21" s="214" t="s">
        <v>411</v>
      </c>
      <c r="K21" s="38"/>
    </row>
    <row r="22" spans="1:11" ht="60.75" customHeight="1">
      <c r="A22" s="45" t="s">
        <v>18</v>
      </c>
      <c r="B22" s="45" t="s">
        <v>19</v>
      </c>
      <c r="C22" s="45" t="s">
        <v>18</v>
      </c>
      <c r="D22" s="45"/>
      <c r="E22" s="43" t="s">
        <v>412</v>
      </c>
      <c r="F22" s="43" t="s">
        <v>187</v>
      </c>
      <c r="G22" s="37" t="s">
        <v>388</v>
      </c>
      <c r="H22" s="37" t="s">
        <v>388</v>
      </c>
      <c r="I22" s="43" t="s">
        <v>188</v>
      </c>
      <c r="J22" s="218" t="s">
        <v>413</v>
      </c>
      <c r="K22" s="26"/>
    </row>
    <row r="23" spans="1:11" ht="48" customHeight="1">
      <c r="A23" s="35" t="s">
        <v>18</v>
      </c>
      <c r="B23" s="35" t="s">
        <v>19</v>
      </c>
      <c r="C23" s="35" t="s">
        <v>31</v>
      </c>
      <c r="D23" s="35"/>
      <c r="E23" s="36" t="s">
        <v>414</v>
      </c>
      <c r="F23" s="36" t="s">
        <v>187</v>
      </c>
      <c r="G23" s="37" t="s">
        <v>388</v>
      </c>
      <c r="H23" s="37" t="s">
        <v>388</v>
      </c>
      <c r="I23" s="36" t="s">
        <v>415</v>
      </c>
      <c r="J23" s="218" t="s">
        <v>243</v>
      </c>
      <c r="K23" s="26"/>
    </row>
    <row r="24" spans="1:11" ht="60" customHeight="1">
      <c r="A24" s="45" t="s">
        <v>18</v>
      </c>
      <c r="B24" s="45" t="s">
        <v>19</v>
      </c>
      <c r="C24" s="45" t="s">
        <v>33</v>
      </c>
      <c r="D24" s="45"/>
      <c r="E24" s="43" t="s">
        <v>416</v>
      </c>
      <c r="F24" s="43" t="s">
        <v>187</v>
      </c>
      <c r="G24" s="37" t="s">
        <v>388</v>
      </c>
      <c r="H24" s="37" t="s">
        <v>388</v>
      </c>
      <c r="I24" s="43" t="s">
        <v>417</v>
      </c>
      <c r="J24" s="218" t="s">
        <v>418</v>
      </c>
      <c r="K24" s="26"/>
    </row>
    <row r="25" spans="1:11" ht="61.5" customHeight="1">
      <c r="A25" s="35" t="s">
        <v>18</v>
      </c>
      <c r="B25" s="35" t="s">
        <v>19</v>
      </c>
      <c r="C25" s="35" t="s">
        <v>140</v>
      </c>
      <c r="D25" s="35"/>
      <c r="E25" s="36" t="s">
        <v>419</v>
      </c>
      <c r="F25" s="36" t="s">
        <v>187</v>
      </c>
      <c r="G25" s="37" t="s">
        <v>388</v>
      </c>
      <c r="H25" s="37" t="s">
        <v>388</v>
      </c>
      <c r="I25" s="36" t="s">
        <v>420</v>
      </c>
      <c r="J25" s="219" t="s">
        <v>44</v>
      </c>
      <c r="K25" s="26"/>
    </row>
    <row r="26" spans="1:11" ht="68.25" customHeight="1">
      <c r="A26" s="35" t="s">
        <v>18</v>
      </c>
      <c r="B26" s="35" t="s">
        <v>19</v>
      </c>
      <c r="C26" s="35" t="s">
        <v>142</v>
      </c>
      <c r="D26" s="35"/>
      <c r="E26" s="36" t="s">
        <v>421</v>
      </c>
      <c r="F26" s="36" t="s">
        <v>187</v>
      </c>
      <c r="G26" s="37" t="s">
        <v>388</v>
      </c>
      <c r="H26" s="37" t="s">
        <v>388</v>
      </c>
      <c r="I26" s="36" t="s">
        <v>422</v>
      </c>
      <c r="J26" s="219" t="s">
        <v>44</v>
      </c>
      <c r="K26" s="197"/>
    </row>
    <row r="27" spans="1:11" ht="74.25" customHeight="1">
      <c r="A27" s="35" t="s">
        <v>18</v>
      </c>
      <c r="B27" s="35" t="s">
        <v>19</v>
      </c>
      <c r="C27" s="35" t="s">
        <v>35</v>
      </c>
      <c r="D27" s="35"/>
      <c r="E27" s="36" t="s">
        <v>423</v>
      </c>
      <c r="F27" s="36" t="s">
        <v>187</v>
      </c>
      <c r="G27" s="37" t="s">
        <v>388</v>
      </c>
      <c r="H27" s="37" t="s">
        <v>388</v>
      </c>
      <c r="I27" s="36" t="s">
        <v>424</v>
      </c>
      <c r="J27" s="219" t="s">
        <v>425</v>
      </c>
      <c r="K27" s="186"/>
    </row>
    <row r="28" spans="1:11" ht="72" customHeight="1">
      <c r="A28" s="35" t="s">
        <v>18</v>
      </c>
      <c r="B28" s="35" t="s">
        <v>19</v>
      </c>
      <c r="C28" s="35" t="s">
        <v>38</v>
      </c>
      <c r="D28" s="35"/>
      <c r="E28" s="36" t="s">
        <v>426</v>
      </c>
      <c r="F28" s="36" t="s">
        <v>187</v>
      </c>
      <c r="G28" s="37" t="s">
        <v>388</v>
      </c>
      <c r="H28" s="37" t="s">
        <v>388</v>
      </c>
      <c r="I28" s="36" t="s">
        <v>427</v>
      </c>
      <c r="J28" s="219" t="s">
        <v>428</v>
      </c>
      <c r="K28" s="186"/>
    </row>
    <row r="29" spans="1:11" ht="66.75" customHeight="1">
      <c r="A29" s="35" t="s">
        <v>18</v>
      </c>
      <c r="B29" s="35" t="s">
        <v>19</v>
      </c>
      <c r="C29" s="35" t="s">
        <v>234</v>
      </c>
      <c r="D29" s="35"/>
      <c r="E29" s="36" t="s">
        <v>206</v>
      </c>
      <c r="F29" s="36" t="s">
        <v>187</v>
      </c>
      <c r="G29" s="37" t="s">
        <v>388</v>
      </c>
      <c r="H29" s="37" t="s">
        <v>388</v>
      </c>
      <c r="I29" s="36" t="s">
        <v>429</v>
      </c>
      <c r="J29" s="220" t="s">
        <v>430</v>
      </c>
      <c r="K29" s="186"/>
    </row>
    <row r="30" spans="1:11" ht="72.75" customHeight="1">
      <c r="A30" s="45" t="s">
        <v>18</v>
      </c>
      <c r="B30" s="45" t="s">
        <v>19</v>
      </c>
      <c r="C30" s="45" t="s">
        <v>108</v>
      </c>
      <c r="D30" s="45"/>
      <c r="E30" s="43" t="s">
        <v>431</v>
      </c>
      <c r="F30" s="43" t="s">
        <v>187</v>
      </c>
      <c r="G30" s="37" t="s">
        <v>388</v>
      </c>
      <c r="H30" s="37" t="s">
        <v>388</v>
      </c>
      <c r="I30" s="43" t="s">
        <v>432</v>
      </c>
      <c r="J30" s="218" t="s">
        <v>108</v>
      </c>
      <c r="K30" s="186"/>
    </row>
    <row r="31" spans="1:11" s="14" customFormat="1" ht="22.5" customHeight="1">
      <c r="A31" s="115" t="s">
        <v>18</v>
      </c>
      <c r="B31" s="115" t="s">
        <v>23</v>
      </c>
      <c r="C31" s="115"/>
      <c r="D31" s="115"/>
      <c r="E31" s="430" t="s">
        <v>24</v>
      </c>
      <c r="F31" s="431"/>
      <c r="G31" s="431"/>
      <c r="H31" s="432"/>
      <c r="I31" s="22"/>
      <c r="J31" s="114"/>
      <c r="K31" s="114"/>
    </row>
    <row r="32" spans="1:11" s="14" customFormat="1" ht="58.5" customHeight="1">
      <c r="A32" s="222" t="s">
        <v>18</v>
      </c>
      <c r="B32" s="222" t="s">
        <v>23</v>
      </c>
      <c r="C32" s="222" t="s">
        <v>20</v>
      </c>
      <c r="D32" s="52"/>
      <c r="E32" s="252" t="s">
        <v>447</v>
      </c>
      <c r="F32" s="253" t="s">
        <v>17</v>
      </c>
      <c r="G32" s="235" t="s">
        <v>388</v>
      </c>
      <c r="H32" s="235" t="s">
        <v>388</v>
      </c>
      <c r="I32" s="254"/>
      <c r="J32" s="255"/>
      <c r="K32" s="189"/>
    </row>
    <row r="33" spans="1:11" s="14" customFormat="1" ht="62.25" customHeight="1">
      <c r="A33" s="256" t="s">
        <v>18</v>
      </c>
      <c r="B33" s="256" t="s">
        <v>23</v>
      </c>
      <c r="C33" s="256" t="s">
        <v>20</v>
      </c>
      <c r="D33" s="256" t="s">
        <v>19</v>
      </c>
      <c r="E33" s="257" t="s">
        <v>220</v>
      </c>
      <c r="F33" s="253" t="s">
        <v>17</v>
      </c>
      <c r="G33" s="258" t="s">
        <v>388</v>
      </c>
      <c r="H33" s="258" t="s">
        <v>388</v>
      </c>
      <c r="I33" s="257" t="s">
        <v>220</v>
      </c>
      <c r="J33" s="259" t="s">
        <v>240</v>
      </c>
      <c r="K33" s="121"/>
    </row>
    <row r="34" spans="1:12" s="14" customFormat="1" ht="62.25" customHeight="1">
      <c r="A34" s="256" t="s">
        <v>18</v>
      </c>
      <c r="B34" s="256" t="s">
        <v>23</v>
      </c>
      <c r="C34" s="256" t="s">
        <v>20</v>
      </c>
      <c r="D34" s="256" t="s">
        <v>23</v>
      </c>
      <c r="E34" s="257" t="s">
        <v>221</v>
      </c>
      <c r="F34" s="253" t="s">
        <v>17</v>
      </c>
      <c r="G34" s="258" t="s">
        <v>388</v>
      </c>
      <c r="H34" s="258" t="s">
        <v>388</v>
      </c>
      <c r="I34" s="257" t="s">
        <v>221</v>
      </c>
      <c r="J34" s="259" t="s">
        <v>240</v>
      </c>
      <c r="K34" s="121"/>
      <c r="L34" s="14" t="s">
        <v>317</v>
      </c>
    </row>
    <row r="35" spans="1:11" s="14" customFormat="1" ht="73.5" customHeight="1">
      <c r="A35" s="256" t="s">
        <v>18</v>
      </c>
      <c r="B35" s="256" t="s">
        <v>23</v>
      </c>
      <c r="C35" s="256" t="s">
        <v>20</v>
      </c>
      <c r="D35" s="256" t="s">
        <v>26</v>
      </c>
      <c r="E35" s="257" t="s">
        <v>222</v>
      </c>
      <c r="F35" s="253" t="s">
        <v>17</v>
      </c>
      <c r="G35" s="258" t="s">
        <v>388</v>
      </c>
      <c r="H35" s="258" t="s">
        <v>388</v>
      </c>
      <c r="I35" s="257" t="s">
        <v>222</v>
      </c>
      <c r="J35" s="259" t="s">
        <v>448</v>
      </c>
      <c r="K35" s="121"/>
    </row>
    <row r="36" spans="1:11" s="14" customFormat="1" ht="90.75" customHeight="1">
      <c r="A36" s="256" t="s">
        <v>18</v>
      </c>
      <c r="B36" s="256" t="s">
        <v>23</v>
      </c>
      <c r="C36" s="256" t="s">
        <v>20</v>
      </c>
      <c r="D36" s="256" t="s">
        <v>44</v>
      </c>
      <c r="E36" s="257" t="s">
        <v>223</v>
      </c>
      <c r="F36" s="253" t="s">
        <v>17</v>
      </c>
      <c r="G36" s="258" t="s">
        <v>388</v>
      </c>
      <c r="H36" s="258" t="s">
        <v>388</v>
      </c>
      <c r="I36" s="257" t="s">
        <v>224</v>
      </c>
      <c r="J36" s="259" t="s">
        <v>449</v>
      </c>
      <c r="K36" s="121"/>
    </row>
    <row r="37" spans="1:11" s="14" customFormat="1" ht="74.25" customHeight="1">
      <c r="A37" s="256" t="s">
        <v>18</v>
      </c>
      <c r="B37" s="256" t="s">
        <v>23</v>
      </c>
      <c r="C37" s="256" t="s">
        <v>20</v>
      </c>
      <c r="D37" s="256" t="s">
        <v>52</v>
      </c>
      <c r="E37" s="257" t="s">
        <v>225</v>
      </c>
      <c r="F37" s="253" t="s">
        <v>17</v>
      </c>
      <c r="G37" s="258" t="s">
        <v>388</v>
      </c>
      <c r="H37" s="258" t="s">
        <v>388</v>
      </c>
      <c r="I37" s="257" t="s">
        <v>225</v>
      </c>
      <c r="J37" s="259" t="s">
        <v>450</v>
      </c>
      <c r="K37" s="121"/>
    </row>
    <row r="38" spans="1:11" s="14" customFormat="1" ht="129.75" customHeight="1">
      <c r="A38" s="116" t="s">
        <v>18</v>
      </c>
      <c r="B38" s="116" t="s">
        <v>23</v>
      </c>
      <c r="C38" s="116" t="s">
        <v>22</v>
      </c>
      <c r="D38" s="116"/>
      <c r="E38" s="117" t="s">
        <v>157</v>
      </c>
      <c r="F38" s="118" t="s">
        <v>17</v>
      </c>
      <c r="G38" s="119" t="s">
        <v>388</v>
      </c>
      <c r="H38" s="119" t="s">
        <v>388</v>
      </c>
      <c r="I38" s="122" t="s">
        <v>226</v>
      </c>
      <c r="J38" s="123" t="s">
        <v>309</v>
      </c>
      <c r="K38" s="121"/>
    </row>
    <row r="39" spans="1:11" s="14" customFormat="1" ht="78" customHeight="1">
      <c r="A39" s="116" t="s">
        <v>18</v>
      </c>
      <c r="B39" s="116" t="s">
        <v>23</v>
      </c>
      <c r="C39" s="116" t="s">
        <v>22</v>
      </c>
      <c r="D39" s="116" t="s">
        <v>19</v>
      </c>
      <c r="E39" s="117" t="s">
        <v>227</v>
      </c>
      <c r="F39" s="118" t="s">
        <v>17</v>
      </c>
      <c r="G39" s="119" t="s">
        <v>388</v>
      </c>
      <c r="H39" s="119" t="s">
        <v>388</v>
      </c>
      <c r="I39" s="117" t="s">
        <v>158</v>
      </c>
      <c r="J39" s="120" t="s">
        <v>451</v>
      </c>
      <c r="K39" s="121"/>
    </row>
    <row r="40" spans="1:11" s="14" customFormat="1" ht="137.25" customHeight="1">
      <c r="A40" s="116" t="s">
        <v>18</v>
      </c>
      <c r="B40" s="116" t="s">
        <v>23</v>
      </c>
      <c r="C40" s="116" t="s">
        <v>22</v>
      </c>
      <c r="D40" s="116" t="s">
        <v>23</v>
      </c>
      <c r="E40" s="117" t="s">
        <v>159</v>
      </c>
      <c r="F40" s="118" t="s">
        <v>17</v>
      </c>
      <c r="G40" s="119" t="s">
        <v>388</v>
      </c>
      <c r="H40" s="119" t="s">
        <v>388</v>
      </c>
      <c r="I40" s="117" t="s">
        <v>228</v>
      </c>
      <c r="J40" s="123" t="s">
        <v>309</v>
      </c>
      <c r="K40" s="121"/>
    </row>
    <row r="41" spans="1:11" s="14" customFormat="1" ht="278.25" customHeight="1">
      <c r="A41" s="116" t="s">
        <v>18</v>
      </c>
      <c r="B41" s="116" t="s">
        <v>23</v>
      </c>
      <c r="C41" s="116" t="s">
        <v>22</v>
      </c>
      <c r="D41" s="116" t="s">
        <v>26</v>
      </c>
      <c r="E41" s="117" t="s">
        <v>27</v>
      </c>
      <c r="F41" s="118" t="s">
        <v>17</v>
      </c>
      <c r="G41" s="119" t="s">
        <v>388</v>
      </c>
      <c r="H41" s="119" t="s">
        <v>388</v>
      </c>
      <c r="I41" s="117" t="s">
        <v>160</v>
      </c>
      <c r="J41" s="123" t="s">
        <v>452</v>
      </c>
      <c r="K41" s="121"/>
    </row>
    <row r="42" spans="1:11" s="14" customFormat="1" ht="93.75" customHeight="1">
      <c r="A42" s="116" t="s">
        <v>18</v>
      </c>
      <c r="B42" s="116" t="s">
        <v>23</v>
      </c>
      <c r="C42" s="116" t="s">
        <v>22</v>
      </c>
      <c r="D42" s="116" t="s">
        <v>44</v>
      </c>
      <c r="E42" s="117" t="s">
        <v>229</v>
      </c>
      <c r="F42" s="118" t="s">
        <v>17</v>
      </c>
      <c r="G42" s="119" t="s">
        <v>388</v>
      </c>
      <c r="H42" s="119" t="s">
        <v>388</v>
      </c>
      <c r="I42" s="117" t="s">
        <v>161</v>
      </c>
      <c r="J42" s="124" t="s">
        <v>453</v>
      </c>
      <c r="K42" s="121"/>
    </row>
    <row r="43" spans="1:11" s="14" customFormat="1" ht="50.25" customHeight="1">
      <c r="A43" s="116" t="s">
        <v>18</v>
      </c>
      <c r="B43" s="116" t="s">
        <v>23</v>
      </c>
      <c r="C43" s="116" t="s">
        <v>43</v>
      </c>
      <c r="D43" s="116"/>
      <c r="E43" s="117" t="s">
        <v>454</v>
      </c>
      <c r="F43" s="118" t="s">
        <v>17</v>
      </c>
      <c r="G43" s="119" t="s">
        <v>388</v>
      </c>
      <c r="H43" s="119"/>
      <c r="I43" s="117"/>
      <c r="J43" s="124"/>
      <c r="K43" s="121"/>
    </row>
    <row r="44" spans="1:11" s="14" customFormat="1" ht="102.75" customHeight="1">
      <c r="A44" s="116" t="s">
        <v>18</v>
      </c>
      <c r="B44" s="116" t="s">
        <v>23</v>
      </c>
      <c r="C44" s="116" t="s">
        <v>43</v>
      </c>
      <c r="D44" s="116" t="s">
        <v>19</v>
      </c>
      <c r="E44" s="117" t="s">
        <v>230</v>
      </c>
      <c r="F44" s="118" t="s">
        <v>17</v>
      </c>
      <c r="G44" s="119" t="s">
        <v>388</v>
      </c>
      <c r="H44" s="119" t="s">
        <v>388</v>
      </c>
      <c r="I44" s="117" t="s">
        <v>231</v>
      </c>
      <c r="J44" s="120" t="s">
        <v>455</v>
      </c>
      <c r="K44" s="121"/>
    </row>
    <row r="45" spans="1:11" s="14" customFormat="1" ht="95.25" customHeight="1">
      <c r="A45" s="116" t="s">
        <v>18</v>
      </c>
      <c r="B45" s="116" t="s">
        <v>23</v>
      </c>
      <c r="C45" s="116" t="s">
        <v>43</v>
      </c>
      <c r="D45" s="116" t="s">
        <v>23</v>
      </c>
      <c r="E45" s="117" t="s">
        <v>32</v>
      </c>
      <c r="F45" s="118" t="s">
        <v>17</v>
      </c>
      <c r="G45" s="119" t="s">
        <v>388</v>
      </c>
      <c r="H45" s="119" t="s">
        <v>388</v>
      </c>
      <c r="I45" s="117" t="s">
        <v>232</v>
      </c>
      <c r="J45" s="120" t="s">
        <v>456</v>
      </c>
      <c r="K45" s="121"/>
    </row>
    <row r="46" spans="1:11" s="14" customFormat="1" ht="60.75" customHeight="1">
      <c r="A46" s="116" t="s">
        <v>18</v>
      </c>
      <c r="B46" s="116" t="s">
        <v>23</v>
      </c>
      <c r="C46" s="116" t="s">
        <v>43</v>
      </c>
      <c r="D46" s="116" t="s">
        <v>26</v>
      </c>
      <c r="E46" s="117" t="s">
        <v>457</v>
      </c>
      <c r="F46" s="118" t="s">
        <v>17</v>
      </c>
      <c r="G46" s="119" t="s">
        <v>388</v>
      </c>
      <c r="H46" s="119" t="s">
        <v>388</v>
      </c>
      <c r="I46" s="117" t="s">
        <v>458</v>
      </c>
      <c r="J46" s="120"/>
      <c r="K46" s="121"/>
    </row>
    <row r="47" spans="1:11" s="14" customFormat="1" ht="233.25" customHeight="1">
      <c r="A47" s="116" t="s">
        <v>18</v>
      </c>
      <c r="B47" s="116" t="s">
        <v>23</v>
      </c>
      <c r="C47" s="116" t="s">
        <v>44</v>
      </c>
      <c r="D47" s="116"/>
      <c r="E47" s="117" t="s">
        <v>34</v>
      </c>
      <c r="F47" s="118" t="s">
        <v>17</v>
      </c>
      <c r="G47" s="119" t="s">
        <v>388</v>
      </c>
      <c r="H47" s="119" t="s">
        <v>388</v>
      </c>
      <c r="I47" s="117"/>
      <c r="J47" s="124" t="s">
        <v>459</v>
      </c>
      <c r="K47" s="121"/>
    </row>
    <row r="48" spans="1:11" s="14" customFormat="1" ht="83.25" customHeight="1">
      <c r="A48" s="116" t="s">
        <v>18</v>
      </c>
      <c r="B48" s="116" t="s">
        <v>23</v>
      </c>
      <c r="C48" s="116" t="s">
        <v>31</v>
      </c>
      <c r="D48" s="116"/>
      <c r="E48" s="117" t="s">
        <v>39</v>
      </c>
      <c r="F48" s="118" t="s">
        <v>17</v>
      </c>
      <c r="G48" s="119" t="s">
        <v>388</v>
      </c>
      <c r="H48" s="119" t="s">
        <v>460</v>
      </c>
      <c r="I48" s="125" t="s">
        <v>233</v>
      </c>
      <c r="J48" s="126" t="s">
        <v>461</v>
      </c>
      <c r="K48" s="121"/>
    </row>
    <row r="49" spans="1:11" s="14" customFormat="1" ht="75" customHeight="1">
      <c r="A49" s="116" t="s">
        <v>18</v>
      </c>
      <c r="B49" s="116" t="s">
        <v>23</v>
      </c>
      <c r="C49" s="116" t="s">
        <v>33</v>
      </c>
      <c r="D49" s="116"/>
      <c r="E49" s="117" t="s">
        <v>241</v>
      </c>
      <c r="F49" s="118" t="s">
        <v>17</v>
      </c>
      <c r="G49" s="119" t="s">
        <v>266</v>
      </c>
      <c r="H49" s="119" t="s">
        <v>266</v>
      </c>
      <c r="I49" s="117" t="s">
        <v>241</v>
      </c>
      <c r="J49" s="120" t="s">
        <v>242</v>
      </c>
      <c r="K49" s="121"/>
    </row>
    <row r="50" spans="1:11" s="14" customFormat="1" ht="64.5" customHeight="1">
      <c r="A50" s="116" t="s">
        <v>18</v>
      </c>
      <c r="B50" s="116" t="s">
        <v>23</v>
      </c>
      <c r="C50" s="116" t="s">
        <v>140</v>
      </c>
      <c r="D50" s="128"/>
      <c r="E50" s="129" t="s">
        <v>462</v>
      </c>
      <c r="F50" s="127" t="s">
        <v>17</v>
      </c>
      <c r="G50" s="119" t="s">
        <v>388</v>
      </c>
      <c r="H50" s="119" t="s">
        <v>388</v>
      </c>
      <c r="I50" s="117" t="s">
        <v>463</v>
      </c>
      <c r="J50" s="120"/>
      <c r="K50" s="121"/>
    </row>
    <row r="51" spans="1:11" s="14" customFormat="1" ht="205.5" customHeight="1">
      <c r="A51" s="130" t="s">
        <v>18</v>
      </c>
      <c r="B51" s="131" t="s">
        <v>23</v>
      </c>
      <c r="C51" s="131" t="s">
        <v>142</v>
      </c>
      <c r="D51" s="131"/>
      <c r="E51" s="122" t="s">
        <v>464</v>
      </c>
      <c r="F51" s="193" t="s">
        <v>17</v>
      </c>
      <c r="G51" s="119" t="s">
        <v>266</v>
      </c>
      <c r="H51" s="132" t="s">
        <v>266</v>
      </c>
      <c r="I51" s="122" t="s">
        <v>244</v>
      </c>
      <c r="J51" s="124" t="s">
        <v>465</v>
      </c>
      <c r="K51" s="121"/>
    </row>
    <row r="52" spans="1:11" s="14" customFormat="1" ht="23.25" customHeight="1">
      <c r="A52" s="143" t="s">
        <v>18</v>
      </c>
      <c r="B52" s="144">
        <v>3</v>
      </c>
      <c r="C52" s="145"/>
      <c r="D52" s="145"/>
      <c r="E52" s="415" t="s">
        <v>245</v>
      </c>
      <c r="F52" s="416"/>
      <c r="G52" s="416"/>
      <c r="H52" s="416"/>
      <c r="I52" s="416"/>
      <c r="J52" s="417"/>
      <c r="K52" s="60"/>
    </row>
    <row r="53" spans="1:11" s="14" customFormat="1" ht="25.5" customHeight="1">
      <c r="A53" s="134" t="s">
        <v>18</v>
      </c>
      <c r="B53" s="134" t="s">
        <v>26</v>
      </c>
      <c r="C53" s="134" t="s">
        <v>20</v>
      </c>
      <c r="D53" s="134"/>
      <c r="E53" s="135" t="s">
        <v>78</v>
      </c>
      <c r="F53" s="136"/>
      <c r="G53" s="136"/>
      <c r="H53" s="137"/>
      <c r="I53" s="135"/>
      <c r="J53" s="138"/>
      <c r="K53" s="133"/>
    </row>
    <row r="54" spans="1:11" s="14" customFormat="1" ht="81.75" customHeight="1">
      <c r="A54" s="134" t="s">
        <v>18</v>
      </c>
      <c r="B54" s="134" t="s">
        <v>26</v>
      </c>
      <c r="C54" s="134" t="s">
        <v>20</v>
      </c>
      <c r="D54" s="134" t="s">
        <v>19</v>
      </c>
      <c r="E54" s="135" t="s">
        <v>468</v>
      </c>
      <c r="F54" s="119" t="s">
        <v>247</v>
      </c>
      <c r="G54" s="119" t="s">
        <v>388</v>
      </c>
      <c r="H54" s="119" t="s">
        <v>388</v>
      </c>
      <c r="I54" s="135" t="s">
        <v>469</v>
      </c>
      <c r="J54" s="124" t="s">
        <v>470</v>
      </c>
      <c r="K54" s="60"/>
    </row>
    <row r="55" spans="1:11" s="14" customFormat="1" ht="33.75" customHeight="1">
      <c r="A55" s="134" t="s">
        <v>18</v>
      </c>
      <c r="B55" s="134" t="s">
        <v>26</v>
      </c>
      <c r="C55" s="191" t="s">
        <v>22</v>
      </c>
      <c r="D55" s="191"/>
      <c r="E55" s="139" t="s">
        <v>79</v>
      </c>
      <c r="F55" s="136"/>
      <c r="G55" s="136"/>
      <c r="H55" s="119"/>
      <c r="I55" s="194"/>
      <c r="J55" s="140"/>
      <c r="K55" s="136" t="s">
        <v>164</v>
      </c>
    </row>
    <row r="56" spans="1:11" s="14" customFormat="1" ht="56.25" customHeight="1">
      <c r="A56" s="446" t="s">
        <v>18</v>
      </c>
      <c r="B56" s="446" t="s">
        <v>26</v>
      </c>
      <c r="C56" s="446" t="s">
        <v>22</v>
      </c>
      <c r="D56" s="446" t="s">
        <v>19</v>
      </c>
      <c r="E56" s="418" t="s">
        <v>468</v>
      </c>
      <c r="F56" s="420" t="s">
        <v>246</v>
      </c>
      <c r="G56" s="422" t="s">
        <v>388</v>
      </c>
      <c r="H56" s="422" t="s">
        <v>388</v>
      </c>
      <c r="I56" s="405" t="s">
        <v>469</v>
      </c>
      <c r="J56" s="407" t="s">
        <v>471</v>
      </c>
      <c r="K56" s="409"/>
    </row>
    <row r="57" spans="1:11" s="14" customFormat="1" ht="40.5" customHeight="1">
      <c r="A57" s="447"/>
      <c r="B57" s="447"/>
      <c r="C57" s="447"/>
      <c r="D57" s="447"/>
      <c r="E57" s="419"/>
      <c r="F57" s="421"/>
      <c r="G57" s="423"/>
      <c r="H57" s="423"/>
      <c r="I57" s="406"/>
      <c r="J57" s="408"/>
      <c r="K57" s="410"/>
    </row>
    <row r="58" spans="1:11" s="14" customFormat="1" ht="108" customHeight="1">
      <c r="A58" s="134" t="s">
        <v>18</v>
      </c>
      <c r="B58" s="134" t="s">
        <v>26</v>
      </c>
      <c r="C58" s="134" t="s">
        <v>43</v>
      </c>
      <c r="D58" s="134"/>
      <c r="E58" s="260" t="s">
        <v>354</v>
      </c>
      <c r="F58" s="136" t="s">
        <v>248</v>
      </c>
      <c r="G58" s="119" t="s">
        <v>388</v>
      </c>
      <c r="H58" s="119" t="s">
        <v>388</v>
      </c>
      <c r="I58" s="194" t="s">
        <v>472</v>
      </c>
      <c r="J58" s="261" t="s">
        <v>473</v>
      </c>
      <c r="K58" s="192"/>
    </row>
    <row r="59" spans="1:11" s="14" customFormat="1" ht="42.75" customHeight="1">
      <c r="A59" s="134" t="s">
        <v>18</v>
      </c>
      <c r="B59" s="134" t="s">
        <v>26</v>
      </c>
      <c r="C59" s="134" t="s">
        <v>43</v>
      </c>
      <c r="D59" s="134"/>
      <c r="E59" s="139" t="s">
        <v>249</v>
      </c>
      <c r="F59" s="136"/>
      <c r="G59" s="136"/>
      <c r="H59" s="119"/>
      <c r="I59" s="139"/>
      <c r="J59" s="138"/>
      <c r="K59" s="136" t="s">
        <v>164</v>
      </c>
    </row>
    <row r="60" spans="1:11" s="14" customFormat="1" ht="93.75" customHeight="1">
      <c r="A60" s="134" t="s">
        <v>18</v>
      </c>
      <c r="B60" s="134" t="s">
        <v>26</v>
      </c>
      <c r="C60" s="134" t="s">
        <v>21</v>
      </c>
      <c r="D60" s="134" t="s">
        <v>19</v>
      </c>
      <c r="E60" s="262" t="s">
        <v>468</v>
      </c>
      <c r="F60" s="263" t="s">
        <v>246</v>
      </c>
      <c r="G60" s="264" t="s">
        <v>388</v>
      </c>
      <c r="H60" s="264" t="s">
        <v>388</v>
      </c>
      <c r="I60" s="263" t="s">
        <v>469</v>
      </c>
      <c r="J60" s="124" t="s">
        <v>474</v>
      </c>
      <c r="K60" s="121"/>
    </row>
    <row r="61" spans="1:11" s="14" customFormat="1" ht="31.5" customHeight="1">
      <c r="A61" s="134" t="s">
        <v>18</v>
      </c>
      <c r="B61" s="134" t="s">
        <v>26</v>
      </c>
      <c r="C61" s="134" t="s">
        <v>21</v>
      </c>
      <c r="D61" s="134"/>
      <c r="E61" s="139" t="s">
        <v>83</v>
      </c>
      <c r="F61" s="136"/>
      <c r="G61" s="136"/>
      <c r="H61" s="119"/>
      <c r="I61" s="139"/>
      <c r="J61" s="138"/>
      <c r="K61" s="121"/>
    </row>
    <row r="62" spans="1:11" s="14" customFormat="1" ht="70.5" customHeight="1">
      <c r="A62" s="134" t="s">
        <v>18</v>
      </c>
      <c r="B62" s="134" t="s">
        <v>26</v>
      </c>
      <c r="C62" s="134" t="s">
        <v>21</v>
      </c>
      <c r="D62" s="134" t="s">
        <v>23</v>
      </c>
      <c r="E62" s="262" t="s">
        <v>468</v>
      </c>
      <c r="F62" s="136" t="s">
        <v>246</v>
      </c>
      <c r="G62" s="119" t="s">
        <v>388</v>
      </c>
      <c r="H62" s="119" t="s">
        <v>388</v>
      </c>
      <c r="I62" s="263" t="s">
        <v>469</v>
      </c>
      <c r="J62" s="124" t="s">
        <v>475</v>
      </c>
      <c r="K62" s="121"/>
    </row>
    <row r="63" spans="1:11" s="14" customFormat="1" ht="33.75" customHeight="1">
      <c r="A63" s="134" t="s">
        <v>18</v>
      </c>
      <c r="B63" s="134" t="s">
        <v>26</v>
      </c>
      <c r="C63" s="134" t="s">
        <v>29</v>
      </c>
      <c r="D63" s="134"/>
      <c r="E63" s="139" t="s">
        <v>84</v>
      </c>
      <c r="F63" s="136"/>
      <c r="G63" s="136"/>
      <c r="H63" s="119"/>
      <c r="I63" s="139"/>
      <c r="J63" s="138"/>
      <c r="K63" s="121"/>
    </row>
    <row r="64" spans="1:11" s="14" customFormat="1" ht="130.5" customHeight="1">
      <c r="A64" s="134" t="s">
        <v>18</v>
      </c>
      <c r="B64" s="134" t="s">
        <v>26</v>
      </c>
      <c r="C64" s="134" t="s">
        <v>25</v>
      </c>
      <c r="D64" s="134" t="s">
        <v>19</v>
      </c>
      <c r="E64" s="74" t="s">
        <v>476</v>
      </c>
      <c r="F64" s="136" t="s">
        <v>250</v>
      </c>
      <c r="G64" s="119" t="s">
        <v>388</v>
      </c>
      <c r="H64" s="119" t="s">
        <v>388</v>
      </c>
      <c r="I64" s="139" t="s">
        <v>85</v>
      </c>
      <c r="J64" s="141" t="s">
        <v>477</v>
      </c>
      <c r="K64" s="136" t="s">
        <v>164</v>
      </c>
    </row>
    <row r="65" spans="1:11" s="14" customFormat="1" ht="90">
      <c r="A65" s="134" t="s">
        <v>18</v>
      </c>
      <c r="B65" s="134" t="s">
        <v>26</v>
      </c>
      <c r="C65" s="134" t="s">
        <v>29</v>
      </c>
      <c r="D65" s="134" t="s">
        <v>23</v>
      </c>
      <c r="E65" s="262" t="s">
        <v>468</v>
      </c>
      <c r="F65" s="136" t="s">
        <v>246</v>
      </c>
      <c r="G65" s="119" t="s">
        <v>388</v>
      </c>
      <c r="H65" s="119" t="s">
        <v>388</v>
      </c>
      <c r="I65" s="263" t="s">
        <v>469</v>
      </c>
      <c r="J65" s="124" t="s">
        <v>478</v>
      </c>
      <c r="K65" s="121"/>
    </row>
    <row r="66" spans="1:11" s="14" customFormat="1" ht="255.75" customHeight="1">
      <c r="A66" s="134" t="s">
        <v>18</v>
      </c>
      <c r="B66" s="134" t="s">
        <v>26</v>
      </c>
      <c r="C66" s="134" t="s">
        <v>18</v>
      </c>
      <c r="D66" s="134"/>
      <c r="E66" s="135" t="s">
        <v>86</v>
      </c>
      <c r="F66" s="136" t="s">
        <v>17</v>
      </c>
      <c r="G66" s="119" t="s">
        <v>388</v>
      </c>
      <c r="H66" s="119" t="s">
        <v>388</v>
      </c>
      <c r="I66" s="139" t="s">
        <v>87</v>
      </c>
      <c r="J66" s="142" t="s">
        <v>479</v>
      </c>
      <c r="K66" s="121"/>
    </row>
    <row r="67" spans="1:11" s="14" customFormat="1" ht="115.5" customHeight="1">
      <c r="A67" s="134" t="s">
        <v>18</v>
      </c>
      <c r="B67" s="134" t="s">
        <v>26</v>
      </c>
      <c r="C67" s="134" t="s">
        <v>31</v>
      </c>
      <c r="D67" s="134"/>
      <c r="E67" s="135" t="s">
        <v>251</v>
      </c>
      <c r="F67" s="136" t="s">
        <v>17</v>
      </c>
      <c r="G67" s="119" t="s">
        <v>388</v>
      </c>
      <c r="H67" s="119" t="s">
        <v>388</v>
      </c>
      <c r="I67" s="139" t="s">
        <v>252</v>
      </c>
      <c r="J67" s="126" t="s">
        <v>480</v>
      </c>
      <c r="K67" s="121"/>
    </row>
    <row r="68" spans="1:11" s="14" customFormat="1" ht="72.75" customHeight="1">
      <c r="A68" s="134" t="s">
        <v>18</v>
      </c>
      <c r="B68" s="134" t="s">
        <v>26</v>
      </c>
      <c r="C68" s="134" t="s">
        <v>33</v>
      </c>
      <c r="D68" s="134"/>
      <c r="E68" s="135" t="s">
        <v>88</v>
      </c>
      <c r="F68" s="136" t="s">
        <v>248</v>
      </c>
      <c r="G68" s="119" t="s">
        <v>388</v>
      </c>
      <c r="H68" s="119" t="s">
        <v>388</v>
      </c>
      <c r="I68" s="139" t="s">
        <v>90</v>
      </c>
      <c r="J68" s="126" t="s">
        <v>275</v>
      </c>
      <c r="K68" s="142"/>
    </row>
    <row r="69" spans="1:11" s="14" customFormat="1" ht="174.75" customHeight="1">
      <c r="A69" s="134" t="s">
        <v>18</v>
      </c>
      <c r="B69" s="134" t="s">
        <v>26</v>
      </c>
      <c r="C69" s="134" t="s">
        <v>35</v>
      </c>
      <c r="D69" s="134"/>
      <c r="E69" s="265" t="s">
        <v>368</v>
      </c>
      <c r="F69" s="136" t="s">
        <v>481</v>
      </c>
      <c r="G69" s="99" t="s">
        <v>388</v>
      </c>
      <c r="H69" s="119" t="s">
        <v>388</v>
      </c>
      <c r="I69" s="139" t="s">
        <v>92</v>
      </c>
      <c r="J69" s="126" t="s">
        <v>482</v>
      </c>
      <c r="K69" s="121"/>
    </row>
    <row r="70" spans="1:11" s="14" customFormat="1" ht="15" customHeight="1">
      <c r="A70" s="440" t="s">
        <v>45</v>
      </c>
      <c r="B70" s="441"/>
      <c r="C70" s="441"/>
      <c r="D70" s="441"/>
      <c r="E70" s="441"/>
      <c r="F70" s="441"/>
      <c r="G70" s="441"/>
      <c r="H70" s="441"/>
      <c r="I70" s="441"/>
      <c r="J70" s="441"/>
      <c r="K70" s="442"/>
    </row>
    <row r="71" spans="1:11" s="14" customFormat="1" ht="56.25">
      <c r="A71" s="45" t="s">
        <v>18</v>
      </c>
      <c r="B71" s="45" t="s">
        <v>44</v>
      </c>
      <c r="C71" s="45" t="s">
        <v>20</v>
      </c>
      <c r="D71" s="45"/>
      <c r="E71" s="51" t="s">
        <v>483</v>
      </c>
      <c r="F71" s="43" t="s">
        <v>17</v>
      </c>
      <c r="G71" s="75" t="s">
        <v>388</v>
      </c>
      <c r="H71" s="75" t="s">
        <v>388</v>
      </c>
      <c r="I71" s="51" t="s">
        <v>485</v>
      </c>
      <c r="J71" s="51" t="s">
        <v>486</v>
      </c>
      <c r="K71" s="5"/>
    </row>
    <row r="72" spans="1:11" s="14" customFormat="1" ht="45">
      <c r="A72" s="45" t="s">
        <v>18</v>
      </c>
      <c r="B72" s="45" t="s">
        <v>44</v>
      </c>
      <c r="C72" s="45" t="s">
        <v>20</v>
      </c>
      <c r="D72" s="45" t="s">
        <v>19</v>
      </c>
      <c r="E72" s="51" t="s">
        <v>484</v>
      </c>
      <c r="F72" s="43" t="s">
        <v>17</v>
      </c>
      <c r="G72" s="75" t="s">
        <v>388</v>
      </c>
      <c r="H72" s="75" t="s">
        <v>388</v>
      </c>
      <c r="I72" s="51" t="s">
        <v>112</v>
      </c>
      <c r="J72" s="51" t="s">
        <v>487</v>
      </c>
      <c r="K72" s="5"/>
    </row>
    <row r="73" spans="1:11" s="14" customFormat="1" ht="45">
      <c r="A73" s="45" t="s">
        <v>18</v>
      </c>
      <c r="B73" s="45" t="s">
        <v>44</v>
      </c>
      <c r="C73" s="45" t="s">
        <v>22</v>
      </c>
      <c r="D73" s="45"/>
      <c r="E73" s="51" t="s">
        <v>47</v>
      </c>
      <c r="F73" s="43" t="s">
        <v>17</v>
      </c>
      <c r="G73" s="75" t="s">
        <v>388</v>
      </c>
      <c r="H73" s="75" t="s">
        <v>388</v>
      </c>
      <c r="I73" s="51" t="s">
        <v>267</v>
      </c>
      <c r="J73" s="51" t="s">
        <v>488</v>
      </c>
      <c r="K73" s="5"/>
    </row>
    <row r="74" spans="1:11" s="14" customFormat="1" ht="45">
      <c r="A74" s="45" t="s">
        <v>18</v>
      </c>
      <c r="B74" s="45" t="s">
        <v>44</v>
      </c>
      <c r="C74" s="45" t="s">
        <v>43</v>
      </c>
      <c r="D74" s="45"/>
      <c r="E74" s="51" t="s">
        <v>48</v>
      </c>
      <c r="F74" s="43" t="s">
        <v>17</v>
      </c>
      <c r="G74" s="75" t="s">
        <v>388</v>
      </c>
      <c r="H74" s="75" t="s">
        <v>388</v>
      </c>
      <c r="I74" s="51" t="s">
        <v>112</v>
      </c>
      <c r="J74" s="51" t="s">
        <v>489</v>
      </c>
      <c r="K74" s="5"/>
    </row>
    <row r="75" spans="1:11" s="14" customFormat="1" ht="21" customHeight="1">
      <c r="A75" s="45" t="s">
        <v>18</v>
      </c>
      <c r="B75" s="45" t="s">
        <v>44</v>
      </c>
      <c r="C75" s="45" t="s">
        <v>21</v>
      </c>
      <c r="D75" s="45"/>
      <c r="E75" s="266" t="s">
        <v>113</v>
      </c>
      <c r="F75" s="43" t="s">
        <v>17</v>
      </c>
      <c r="G75" s="75" t="s">
        <v>388</v>
      </c>
      <c r="H75" s="75" t="s">
        <v>388</v>
      </c>
      <c r="I75" s="51" t="s">
        <v>490</v>
      </c>
      <c r="J75" s="51" t="s">
        <v>491</v>
      </c>
      <c r="K75" s="5"/>
    </row>
    <row r="76" spans="1:11" s="14" customFormat="1" ht="55.5" customHeight="1">
      <c r="A76" s="45" t="s">
        <v>18</v>
      </c>
      <c r="B76" s="45" t="s">
        <v>44</v>
      </c>
      <c r="C76" s="45" t="s">
        <v>29</v>
      </c>
      <c r="D76" s="45"/>
      <c r="E76" s="266" t="s">
        <v>50</v>
      </c>
      <c r="F76" s="43" t="s">
        <v>17</v>
      </c>
      <c r="G76" s="75" t="s">
        <v>388</v>
      </c>
      <c r="H76" s="75" t="s">
        <v>388</v>
      </c>
      <c r="I76" s="51" t="s">
        <v>490</v>
      </c>
      <c r="J76" s="51" t="s">
        <v>492</v>
      </c>
      <c r="K76" s="5"/>
    </row>
    <row r="77" spans="1:11" s="14" customFormat="1" ht="45">
      <c r="A77" s="45" t="s">
        <v>18</v>
      </c>
      <c r="B77" s="45" t="s">
        <v>44</v>
      </c>
      <c r="C77" s="45" t="s">
        <v>25</v>
      </c>
      <c r="D77" s="45"/>
      <c r="E77" s="51" t="s">
        <v>283</v>
      </c>
      <c r="F77" s="43" t="s">
        <v>17</v>
      </c>
      <c r="G77" s="75" t="s">
        <v>388</v>
      </c>
      <c r="H77" s="75" t="s">
        <v>388</v>
      </c>
      <c r="I77" s="51" t="s">
        <v>114</v>
      </c>
      <c r="J77" s="51" t="s">
        <v>493</v>
      </c>
      <c r="K77" s="5"/>
    </row>
    <row r="78" spans="1:11" s="14" customFormat="1" ht="45">
      <c r="A78" s="45" t="s">
        <v>18</v>
      </c>
      <c r="B78" s="45" t="s">
        <v>44</v>
      </c>
      <c r="C78" s="45" t="s">
        <v>18</v>
      </c>
      <c r="D78" s="45"/>
      <c r="E78" s="51" t="s">
        <v>115</v>
      </c>
      <c r="F78" s="43" t="s">
        <v>17</v>
      </c>
      <c r="G78" s="75" t="s">
        <v>388</v>
      </c>
      <c r="H78" s="75" t="s">
        <v>388</v>
      </c>
      <c r="I78" s="51" t="s">
        <v>115</v>
      </c>
      <c r="J78" s="51" t="s">
        <v>494</v>
      </c>
      <c r="K78" s="5"/>
    </row>
    <row r="79" spans="1:11" s="14" customFormat="1" ht="45">
      <c r="A79" s="45" t="s">
        <v>18</v>
      </c>
      <c r="B79" s="45" t="s">
        <v>44</v>
      </c>
      <c r="C79" s="45" t="s">
        <v>31</v>
      </c>
      <c r="D79" s="45"/>
      <c r="E79" s="51" t="s">
        <v>116</v>
      </c>
      <c r="F79" s="43" t="s">
        <v>17</v>
      </c>
      <c r="G79" s="75" t="s">
        <v>388</v>
      </c>
      <c r="H79" s="75" t="s">
        <v>388</v>
      </c>
      <c r="I79" s="51" t="s">
        <v>117</v>
      </c>
      <c r="J79" s="51" t="s">
        <v>497</v>
      </c>
      <c r="K79" s="5"/>
    </row>
    <row r="80" spans="1:11" s="14" customFormat="1" ht="45">
      <c r="A80" s="45" t="s">
        <v>18</v>
      </c>
      <c r="B80" s="45" t="s">
        <v>44</v>
      </c>
      <c r="C80" s="45" t="s">
        <v>33</v>
      </c>
      <c r="D80" s="45"/>
      <c r="E80" s="51" t="s">
        <v>51</v>
      </c>
      <c r="F80" s="43" t="s">
        <v>17</v>
      </c>
      <c r="G80" s="75" t="s">
        <v>388</v>
      </c>
      <c r="H80" s="75" t="s">
        <v>388</v>
      </c>
      <c r="I80" s="51" t="s">
        <v>111</v>
      </c>
      <c r="J80" s="51" t="s">
        <v>498</v>
      </c>
      <c r="K80" s="5"/>
    </row>
    <row r="81" spans="1:11" s="14" customFormat="1" ht="160.5" customHeight="1">
      <c r="A81" s="45" t="s">
        <v>18</v>
      </c>
      <c r="B81" s="45" t="s">
        <v>44</v>
      </c>
      <c r="C81" s="45" t="s">
        <v>140</v>
      </c>
      <c r="D81" s="45"/>
      <c r="E81" s="51" t="s">
        <v>118</v>
      </c>
      <c r="F81" s="43" t="s">
        <v>17</v>
      </c>
      <c r="G81" s="75" t="s">
        <v>388</v>
      </c>
      <c r="H81" s="75" t="s">
        <v>388</v>
      </c>
      <c r="I81" s="51" t="s">
        <v>268</v>
      </c>
      <c r="J81" s="51" t="s">
        <v>499</v>
      </c>
      <c r="K81" s="5"/>
    </row>
    <row r="82" spans="1:11" s="14" customFormat="1" ht="63" customHeight="1">
      <c r="A82" s="45" t="s">
        <v>18</v>
      </c>
      <c r="B82" s="45" t="s">
        <v>44</v>
      </c>
      <c r="C82" s="45" t="s">
        <v>142</v>
      </c>
      <c r="D82" s="45"/>
      <c r="E82" s="51" t="s">
        <v>119</v>
      </c>
      <c r="F82" s="43" t="s">
        <v>17</v>
      </c>
      <c r="G82" s="75" t="s">
        <v>388</v>
      </c>
      <c r="H82" s="75" t="s">
        <v>388</v>
      </c>
      <c r="I82" s="51" t="s">
        <v>120</v>
      </c>
      <c r="J82" s="51" t="s">
        <v>500</v>
      </c>
      <c r="K82" s="5"/>
    </row>
    <row r="83" spans="1:11" s="14" customFormat="1" ht="78.75">
      <c r="A83" s="45" t="s">
        <v>18</v>
      </c>
      <c r="B83" s="45" t="s">
        <v>44</v>
      </c>
      <c r="C83" s="45" t="s">
        <v>35</v>
      </c>
      <c r="D83" s="45"/>
      <c r="E83" s="266" t="s">
        <v>495</v>
      </c>
      <c r="F83" s="43" t="s">
        <v>17</v>
      </c>
      <c r="G83" s="75" t="s">
        <v>388</v>
      </c>
      <c r="H83" s="75" t="s">
        <v>388</v>
      </c>
      <c r="I83" s="51" t="s">
        <v>269</v>
      </c>
      <c r="J83" s="51" t="s">
        <v>501</v>
      </c>
      <c r="K83" s="5"/>
    </row>
    <row r="84" spans="1:11" s="14" customFormat="1" ht="45">
      <c r="A84" s="45" t="s">
        <v>18</v>
      </c>
      <c r="B84" s="45" t="s">
        <v>44</v>
      </c>
      <c r="C84" s="45" t="s">
        <v>38</v>
      </c>
      <c r="D84" s="45"/>
      <c r="E84" s="51" t="s">
        <v>496</v>
      </c>
      <c r="F84" s="43" t="s">
        <v>17</v>
      </c>
      <c r="G84" s="75" t="s">
        <v>388</v>
      </c>
      <c r="H84" s="75" t="s">
        <v>388</v>
      </c>
      <c r="I84" s="23" t="s">
        <v>121</v>
      </c>
      <c r="J84" s="23"/>
      <c r="K84" s="66"/>
    </row>
    <row r="85" spans="1:11" s="14" customFormat="1" ht="46.5" customHeight="1">
      <c r="A85" s="45" t="s">
        <v>18</v>
      </c>
      <c r="B85" s="45" t="s">
        <v>44</v>
      </c>
      <c r="C85" s="45" t="s">
        <v>234</v>
      </c>
      <c r="D85" s="45"/>
      <c r="E85" s="47" t="s">
        <v>178</v>
      </c>
      <c r="F85" s="43" t="s">
        <v>17</v>
      </c>
      <c r="G85" s="75" t="s">
        <v>388</v>
      </c>
      <c r="H85" s="75" t="s">
        <v>388</v>
      </c>
      <c r="I85" s="23" t="s">
        <v>180</v>
      </c>
      <c r="J85" s="23" t="s">
        <v>502</v>
      </c>
      <c r="K85" s="66"/>
    </row>
    <row r="86" spans="1:11" s="14" customFormat="1" ht="46.5" customHeight="1">
      <c r="A86" s="45" t="s">
        <v>18</v>
      </c>
      <c r="B86" s="45" t="s">
        <v>44</v>
      </c>
      <c r="C86" s="45" t="s">
        <v>108</v>
      </c>
      <c r="D86" s="45"/>
      <c r="E86" s="54" t="s">
        <v>211</v>
      </c>
      <c r="F86" s="43" t="s">
        <v>17</v>
      </c>
      <c r="G86" s="75" t="s">
        <v>388</v>
      </c>
      <c r="H86" s="75" t="s">
        <v>388</v>
      </c>
      <c r="I86" s="51" t="s">
        <v>112</v>
      </c>
      <c r="J86" s="269" t="s">
        <v>503</v>
      </c>
      <c r="K86" s="270"/>
    </row>
    <row r="87" spans="1:11" s="14" customFormat="1" ht="15" customHeight="1">
      <c r="A87" s="443" t="s">
        <v>93</v>
      </c>
      <c r="B87" s="444"/>
      <c r="C87" s="444"/>
      <c r="D87" s="444"/>
      <c r="E87" s="444"/>
      <c r="F87" s="444"/>
      <c r="G87" s="444"/>
      <c r="H87" s="444"/>
      <c r="I87" s="444"/>
      <c r="J87" s="444"/>
      <c r="K87" s="445"/>
    </row>
    <row r="88" spans="1:11" s="14" customFormat="1" ht="146.25">
      <c r="A88" s="21" t="s">
        <v>18</v>
      </c>
      <c r="B88" s="21">
        <v>5</v>
      </c>
      <c r="C88" s="21" t="s">
        <v>20</v>
      </c>
      <c r="D88" s="21"/>
      <c r="E88" s="267" t="s">
        <v>330</v>
      </c>
      <c r="F88" s="5" t="s">
        <v>504</v>
      </c>
      <c r="G88" s="75" t="s">
        <v>388</v>
      </c>
      <c r="H88" s="75" t="s">
        <v>388</v>
      </c>
      <c r="I88" s="23" t="s">
        <v>506</v>
      </c>
      <c r="J88" s="23" t="s">
        <v>507</v>
      </c>
      <c r="K88" s="5"/>
    </row>
    <row r="89" spans="1:11" s="14" customFormat="1" ht="45">
      <c r="A89" s="27" t="s">
        <v>18</v>
      </c>
      <c r="B89" s="21">
        <v>5</v>
      </c>
      <c r="C89" s="21" t="s">
        <v>22</v>
      </c>
      <c r="D89" s="21"/>
      <c r="E89" s="23" t="s">
        <v>505</v>
      </c>
      <c r="F89" s="38" t="s">
        <v>17</v>
      </c>
      <c r="G89" s="75" t="s">
        <v>388</v>
      </c>
      <c r="H89" s="75" t="s">
        <v>388</v>
      </c>
      <c r="I89" s="93" t="s">
        <v>236</v>
      </c>
      <c r="J89" s="268" t="s">
        <v>508</v>
      </c>
      <c r="K89" s="5"/>
    </row>
    <row r="90" spans="1:11" s="14" customFormat="1" ht="45" customHeight="1">
      <c r="A90" s="21" t="s">
        <v>18</v>
      </c>
      <c r="B90" s="21">
        <v>5</v>
      </c>
      <c r="C90" s="21" t="s">
        <v>43</v>
      </c>
      <c r="D90" s="21"/>
      <c r="E90" s="23" t="s">
        <v>94</v>
      </c>
      <c r="F90" s="5" t="s">
        <v>17</v>
      </c>
      <c r="G90" s="75" t="s">
        <v>388</v>
      </c>
      <c r="H90" s="75" t="s">
        <v>388</v>
      </c>
      <c r="I90" s="23" t="s">
        <v>94</v>
      </c>
      <c r="J90" s="23" t="s">
        <v>509</v>
      </c>
      <c r="K90" s="5"/>
    </row>
    <row r="91" spans="1:11" s="14" customFormat="1" ht="45">
      <c r="A91" s="21" t="s">
        <v>18</v>
      </c>
      <c r="B91" s="21">
        <v>5</v>
      </c>
      <c r="C91" s="21" t="s">
        <v>21</v>
      </c>
      <c r="D91" s="21"/>
      <c r="E91" s="23" t="s">
        <v>95</v>
      </c>
      <c r="F91" s="5" t="s">
        <v>17</v>
      </c>
      <c r="G91" s="75" t="s">
        <v>388</v>
      </c>
      <c r="H91" s="75" t="s">
        <v>388</v>
      </c>
      <c r="I91" s="23" t="s">
        <v>96</v>
      </c>
      <c r="J91" s="23" t="s">
        <v>510</v>
      </c>
      <c r="K91" s="5"/>
    </row>
    <row r="92" spans="1:11" s="14" customFormat="1" ht="96" customHeight="1">
      <c r="A92" s="21" t="s">
        <v>18</v>
      </c>
      <c r="B92" s="21">
        <v>5</v>
      </c>
      <c r="C92" s="21" t="s">
        <v>29</v>
      </c>
      <c r="D92" s="21"/>
      <c r="E92" s="23" t="s">
        <v>97</v>
      </c>
      <c r="F92" s="5" t="s">
        <v>17</v>
      </c>
      <c r="G92" s="75" t="s">
        <v>388</v>
      </c>
      <c r="H92" s="75" t="s">
        <v>388</v>
      </c>
      <c r="I92" s="24" t="s">
        <v>98</v>
      </c>
      <c r="J92" s="24" t="s">
        <v>511</v>
      </c>
      <c r="K92" s="5"/>
    </row>
    <row r="93" spans="1:11" s="14" customFormat="1" ht="72" customHeight="1">
      <c r="A93" s="21" t="s">
        <v>18</v>
      </c>
      <c r="B93" s="21">
        <v>5</v>
      </c>
      <c r="C93" s="21" t="s">
        <v>25</v>
      </c>
      <c r="D93" s="21"/>
      <c r="E93" s="23" t="s">
        <v>54</v>
      </c>
      <c r="F93" s="5" t="s">
        <v>17</v>
      </c>
      <c r="G93" s="75" t="s">
        <v>388</v>
      </c>
      <c r="H93" s="75" t="s">
        <v>388</v>
      </c>
      <c r="I93" s="23" t="s">
        <v>54</v>
      </c>
      <c r="J93" s="23" t="s">
        <v>512</v>
      </c>
      <c r="K93" s="5"/>
    </row>
    <row r="94" spans="1:11" s="14" customFormat="1" ht="45">
      <c r="A94" s="21" t="s">
        <v>18</v>
      </c>
      <c r="B94" s="21">
        <v>5</v>
      </c>
      <c r="C94" s="21" t="s">
        <v>18</v>
      </c>
      <c r="D94" s="21"/>
      <c r="E94" s="23" t="s">
        <v>55</v>
      </c>
      <c r="F94" s="5" t="s">
        <v>17</v>
      </c>
      <c r="G94" s="75" t="s">
        <v>388</v>
      </c>
      <c r="H94" s="75" t="s">
        <v>388</v>
      </c>
      <c r="I94" s="32" t="s">
        <v>99</v>
      </c>
      <c r="J94" s="32" t="s">
        <v>513</v>
      </c>
      <c r="K94" s="5"/>
    </row>
    <row r="95" spans="1:11" s="14" customFormat="1" ht="90">
      <c r="A95" s="21" t="s">
        <v>18</v>
      </c>
      <c r="B95" s="21">
        <v>5</v>
      </c>
      <c r="C95" s="21" t="s">
        <v>31</v>
      </c>
      <c r="D95" s="21"/>
      <c r="E95" s="23" t="s">
        <v>100</v>
      </c>
      <c r="F95" s="5" t="s">
        <v>17</v>
      </c>
      <c r="G95" s="75" t="s">
        <v>388</v>
      </c>
      <c r="H95" s="75" t="s">
        <v>388</v>
      </c>
      <c r="I95" s="23" t="s">
        <v>101</v>
      </c>
      <c r="J95" s="23" t="s">
        <v>514</v>
      </c>
      <c r="K95" s="5"/>
    </row>
    <row r="96" spans="1:11" s="14" customFormat="1" ht="56.25">
      <c r="A96" s="21" t="s">
        <v>18</v>
      </c>
      <c r="B96" s="21">
        <v>5</v>
      </c>
      <c r="C96" s="21" t="s">
        <v>140</v>
      </c>
      <c r="D96" s="21"/>
      <c r="E96" s="23" t="s">
        <v>102</v>
      </c>
      <c r="F96" s="5" t="s">
        <v>17</v>
      </c>
      <c r="G96" s="75" t="s">
        <v>388</v>
      </c>
      <c r="H96" s="75" t="s">
        <v>388</v>
      </c>
      <c r="I96" s="23" t="s">
        <v>103</v>
      </c>
      <c r="J96" s="23"/>
      <c r="K96" s="67"/>
    </row>
    <row r="97" spans="1:11" s="14" customFormat="1" ht="56.25">
      <c r="A97" s="21" t="s">
        <v>18</v>
      </c>
      <c r="B97" s="21">
        <v>5</v>
      </c>
      <c r="C97" s="21" t="s">
        <v>142</v>
      </c>
      <c r="D97" s="21"/>
      <c r="E97" s="23" t="s">
        <v>104</v>
      </c>
      <c r="F97" s="5" t="s">
        <v>17</v>
      </c>
      <c r="G97" s="75" t="s">
        <v>388</v>
      </c>
      <c r="H97" s="75" t="s">
        <v>388</v>
      </c>
      <c r="I97" s="23" t="s">
        <v>105</v>
      </c>
      <c r="J97" s="23" t="s">
        <v>515</v>
      </c>
      <c r="K97" s="67"/>
    </row>
    <row r="98" spans="1:11" s="14" customFormat="1" ht="90">
      <c r="A98" s="21" t="s">
        <v>18</v>
      </c>
      <c r="B98" s="21">
        <v>5</v>
      </c>
      <c r="C98" s="21" t="s">
        <v>35</v>
      </c>
      <c r="D98" s="21"/>
      <c r="E98" s="23" t="s">
        <v>106</v>
      </c>
      <c r="F98" s="5" t="s">
        <v>247</v>
      </c>
      <c r="G98" s="75" t="s">
        <v>388</v>
      </c>
      <c r="H98" s="75" t="s">
        <v>388</v>
      </c>
      <c r="I98" s="23" t="s">
        <v>107</v>
      </c>
      <c r="J98" s="23" t="s">
        <v>512</v>
      </c>
      <c r="K98" s="5"/>
    </row>
    <row r="99" spans="1:11" s="14" customFormat="1" ht="123.75">
      <c r="A99" s="21" t="s">
        <v>18</v>
      </c>
      <c r="B99" s="21">
        <v>5</v>
      </c>
      <c r="C99" s="21" t="s">
        <v>38</v>
      </c>
      <c r="D99" s="21"/>
      <c r="E99" s="23" t="s">
        <v>109</v>
      </c>
      <c r="F99" s="5" t="s">
        <v>17</v>
      </c>
      <c r="G99" s="75" t="s">
        <v>388</v>
      </c>
      <c r="H99" s="75" t="s">
        <v>388</v>
      </c>
      <c r="I99" s="23" t="s">
        <v>110</v>
      </c>
      <c r="J99" s="23" t="s">
        <v>516</v>
      </c>
      <c r="K99" s="5"/>
    </row>
    <row r="100" spans="1:11" s="14" customFormat="1" ht="45">
      <c r="A100" s="21" t="s">
        <v>18</v>
      </c>
      <c r="B100" s="21" t="s">
        <v>52</v>
      </c>
      <c r="C100" s="21" t="s">
        <v>234</v>
      </c>
      <c r="D100" s="21"/>
      <c r="E100" s="23" t="s">
        <v>270</v>
      </c>
      <c r="F100" s="5" t="s">
        <v>17</v>
      </c>
      <c r="G100" s="75" t="s">
        <v>388</v>
      </c>
      <c r="H100" s="75" t="s">
        <v>388</v>
      </c>
      <c r="I100" s="23" t="s">
        <v>271</v>
      </c>
      <c r="J100" s="23" t="s">
        <v>517</v>
      </c>
      <c r="K100" s="5"/>
    </row>
    <row r="101" spans="1:11" s="14" customFormat="1" ht="23.25" customHeight="1">
      <c r="A101" s="68" t="s">
        <v>18</v>
      </c>
      <c r="B101" s="68">
        <v>6</v>
      </c>
      <c r="C101" s="68"/>
      <c r="D101" s="68"/>
      <c r="E101" s="437" t="s">
        <v>57</v>
      </c>
      <c r="F101" s="438"/>
      <c r="G101" s="438"/>
      <c r="H101" s="438"/>
      <c r="I101" s="438"/>
      <c r="J101" s="438"/>
      <c r="K101" s="439"/>
    </row>
    <row r="102" spans="1:11" s="14" customFormat="1" ht="45" customHeight="1">
      <c r="A102" s="48" t="s">
        <v>18</v>
      </c>
      <c r="B102" s="48" t="s">
        <v>56</v>
      </c>
      <c r="C102" s="48" t="s">
        <v>20</v>
      </c>
      <c r="D102" s="48"/>
      <c r="E102" s="69" t="s">
        <v>167</v>
      </c>
      <c r="F102" s="5" t="s">
        <v>17</v>
      </c>
      <c r="G102" s="75" t="s">
        <v>388</v>
      </c>
      <c r="H102" s="75" t="s">
        <v>388</v>
      </c>
      <c r="I102" s="70" t="s">
        <v>167</v>
      </c>
      <c r="J102" s="5" t="s">
        <v>165</v>
      </c>
      <c r="K102" s="60"/>
    </row>
    <row r="103" spans="1:11" s="14" customFormat="1" ht="101.25">
      <c r="A103" s="48" t="s">
        <v>18</v>
      </c>
      <c r="B103" s="48" t="s">
        <v>56</v>
      </c>
      <c r="C103" s="48" t="s">
        <v>22</v>
      </c>
      <c r="D103" s="48"/>
      <c r="E103" s="69" t="s">
        <v>168</v>
      </c>
      <c r="F103" s="5" t="s">
        <v>17</v>
      </c>
      <c r="G103" s="75" t="s">
        <v>388</v>
      </c>
      <c r="H103" s="75" t="s">
        <v>388</v>
      </c>
      <c r="I103" s="71" t="s">
        <v>169</v>
      </c>
      <c r="J103" s="5" t="s">
        <v>165</v>
      </c>
      <c r="K103" s="60"/>
    </row>
    <row r="104" spans="1:11" s="14" customFormat="1" ht="67.5">
      <c r="A104" s="48" t="s">
        <v>18</v>
      </c>
      <c r="B104" s="48" t="s">
        <v>56</v>
      </c>
      <c r="C104" s="48" t="s">
        <v>43</v>
      </c>
      <c r="D104" s="48"/>
      <c r="E104" s="69" t="s">
        <v>170</v>
      </c>
      <c r="F104" s="5" t="s">
        <v>17</v>
      </c>
      <c r="G104" s="75" t="s">
        <v>388</v>
      </c>
      <c r="H104" s="75" t="s">
        <v>388</v>
      </c>
      <c r="I104" s="71" t="s">
        <v>171</v>
      </c>
      <c r="J104" s="5" t="s">
        <v>165</v>
      </c>
      <c r="K104" s="60"/>
    </row>
    <row r="105" s="14" customFormat="1" ht="15">
      <c r="J105" s="61"/>
    </row>
    <row r="106" s="14" customFormat="1" ht="15">
      <c r="J106" s="61"/>
    </row>
    <row r="107" s="14" customFormat="1" ht="15">
      <c r="J107" s="61"/>
    </row>
    <row r="108" s="14" customFormat="1" ht="15">
      <c r="J108" s="61"/>
    </row>
    <row r="109" s="14" customFormat="1" ht="15">
      <c r="J109" s="61"/>
    </row>
    <row r="110" s="14" customFormat="1" ht="15">
      <c r="J110" s="61"/>
    </row>
    <row r="111" s="14" customFormat="1" ht="15">
      <c r="J111" s="61"/>
    </row>
    <row r="112" s="14" customFormat="1" ht="15">
      <c r="J112" s="61"/>
    </row>
    <row r="113" s="14" customFormat="1" ht="15">
      <c r="J113" s="61"/>
    </row>
    <row r="114" s="14" customFormat="1" ht="15">
      <c r="J114" s="61"/>
    </row>
    <row r="115" s="14" customFormat="1" ht="15">
      <c r="J115" s="61"/>
    </row>
    <row r="116" s="14" customFormat="1" ht="15">
      <c r="J116" s="61"/>
    </row>
    <row r="117" s="14" customFormat="1" ht="15">
      <c r="J117" s="61"/>
    </row>
    <row r="118" s="14" customFormat="1" ht="15">
      <c r="J118" s="61"/>
    </row>
    <row r="119" s="14" customFormat="1" ht="15">
      <c r="J119" s="61"/>
    </row>
    <row r="120" s="14" customFormat="1" ht="15">
      <c r="J120" s="61"/>
    </row>
    <row r="121" s="14" customFormat="1" ht="15">
      <c r="J121" s="61"/>
    </row>
    <row r="122" s="14" customFormat="1" ht="15">
      <c r="J122" s="61"/>
    </row>
    <row r="123" s="14" customFormat="1" ht="15">
      <c r="J123" s="61"/>
    </row>
    <row r="124" s="14" customFormat="1" ht="15">
      <c r="J124" s="61"/>
    </row>
    <row r="125" s="14" customFormat="1" ht="15">
      <c r="J125" s="61"/>
    </row>
    <row r="126" s="14" customFormat="1" ht="15">
      <c r="J126" s="61"/>
    </row>
    <row r="127" s="14" customFormat="1" ht="15">
      <c r="J127" s="61"/>
    </row>
    <row r="128" s="14" customFormat="1" ht="15">
      <c r="J128" s="61"/>
    </row>
    <row r="129" s="14" customFormat="1" ht="15">
      <c r="J129" s="61"/>
    </row>
    <row r="130" s="14" customFormat="1" ht="15">
      <c r="J130" s="61"/>
    </row>
  </sheetData>
  <sheetProtection/>
  <mergeCells count="34">
    <mergeCell ref="A56:A57"/>
    <mergeCell ref="B56:B57"/>
    <mergeCell ref="C56:C57"/>
    <mergeCell ref="D56:D57"/>
    <mergeCell ref="H6:H7"/>
    <mergeCell ref="K6:K7"/>
    <mergeCell ref="E8:K8"/>
    <mergeCell ref="I15:I18"/>
    <mergeCell ref="E101:K101"/>
    <mergeCell ref="I6:I7"/>
    <mergeCell ref="J6:J7"/>
    <mergeCell ref="A70:K70"/>
    <mergeCell ref="A87:K87"/>
    <mergeCell ref="G6:G7"/>
    <mergeCell ref="E56:E57"/>
    <mergeCell ref="F56:F57"/>
    <mergeCell ref="G56:G57"/>
    <mergeCell ref="H56:H57"/>
    <mergeCell ref="A2:K2"/>
    <mergeCell ref="A5:K5"/>
    <mergeCell ref="A6:D6"/>
    <mergeCell ref="E6:E7"/>
    <mergeCell ref="F6:F7"/>
    <mergeCell ref="E31:H31"/>
    <mergeCell ref="I56:I57"/>
    <mergeCell ref="J56:J57"/>
    <mergeCell ref="K56:K57"/>
    <mergeCell ref="A3:Q3"/>
    <mergeCell ref="A4:Q4"/>
    <mergeCell ref="G13:G14"/>
    <mergeCell ref="H13:H14"/>
    <mergeCell ref="I13:I14"/>
    <mergeCell ref="K13:K14"/>
    <mergeCell ref="E52:J52"/>
  </mergeCells>
  <printOptions/>
  <pageMargins left="0.3937007874015748" right="0" top="0.15748031496062992" bottom="0.15748031496062992" header="0.31496062992125984" footer="0.31496062992125984"/>
  <pageSetup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Q48"/>
  <sheetViews>
    <sheetView zoomScale="90" zoomScaleNormal="90" zoomScalePageLayoutView="0" workbookViewId="0" topLeftCell="A1">
      <pane ySplit="9" topLeftCell="A10" activePane="bottomLeft" state="frozen"/>
      <selection pane="topLeft" activeCell="A1" sqref="A1"/>
      <selection pane="bottomLeft" activeCell="Q13" sqref="Q13"/>
    </sheetView>
  </sheetViews>
  <sheetFormatPr defaultColWidth="9.140625" defaultRowHeight="15"/>
  <cols>
    <col min="1" max="1" width="4.140625" style="0" customWidth="1"/>
    <col min="2" max="2" width="4.57421875" style="0" customWidth="1"/>
    <col min="3" max="3" width="3.421875" style="0" customWidth="1"/>
    <col min="4" max="4" width="46.00390625" style="0" customWidth="1"/>
    <col min="5" max="5" width="8.57421875" style="0" customWidth="1"/>
    <col min="6" max="9" width="10.7109375" style="0" customWidth="1"/>
    <col min="10" max="10" width="14.7109375" style="0" customWidth="1"/>
    <col min="11" max="11" width="43.57421875" style="0" customWidth="1"/>
    <col min="12" max="12" width="9.140625" style="85" customWidth="1"/>
  </cols>
  <sheetData>
    <row r="1" ht="21" customHeight="1">
      <c r="K1" s="15" t="s">
        <v>162</v>
      </c>
    </row>
    <row r="2" spans="1:11" ht="31.5" customHeight="1">
      <c r="A2" s="453" t="s">
        <v>521</v>
      </c>
      <c r="B2" s="453"/>
      <c r="C2" s="453"/>
      <c r="D2" s="453"/>
      <c r="E2" s="453"/>
      <c r="F2" s="453"/>
      <c r="G2" s="453"/>
      <c r="H2" s="453"/>
      <c r="I2" s="453"/>
      <c r="J2" s="453"/>
      <c r="K2" s="453"/>
    </row>
    <row r="3" spans="1:17" ht="31.5" customHeight="1">
      <c r="A3" s="273" t="s">
        <v>519</v>
      </c>
      <c r="B3" s="382"/>
      <c r="C3" s="382"/>
      <c r="D3" s="382"/>
      <c r="E3" s="382"/>
      <c r="F3" s="382"/>
      <c r="G3" s="382"/>
      <c r="H3" s="382"/>
      <c r="I3" s="382"/>
      <c r="J3" s="382"/>
      <c r="K3" s="382"/>
      <c r="L3" s="382"/>
      <c r="M3" s="382"/>
      <c r="N3" s="382"/>
      <c r="O3" s="382"/>
      <c r="P3" s="382"/>
      <c r="Q3" s="382"/>
    </row>
    <row r="4" spans="1:17" ht="31.5" customHeight="1">
      <c r="A4" s="273" t="s">
        <v>287</v>
      </c>
      <c r="B4" s="382"/>
      <c r="C4" s="382"/>
      <c r="D4" s="382"/>
      <c r="E4" s="382"/>
      <c r="F4" s="382"/>
      <c r="G4" s="382"/>
      <c r="H4" s="382"/>
      <c r="I4" s="382"/>
      <c r="J4" s="382"/>
      <c r="K4" s="382"/>
      <c r="L4" s="382"/>
      <c r="M4" s="382"/>
      <c r="N4" s="382"/>
      <c r="O4" s="382"/>
      <c r="P4" s="382"/>
      <c r="Q4" s="382"/>
    </row>
    <row r="5" spans="1:11" ht="21" customHeight="1">
      <c r="A5" s="456"/>
      <c r="B5" s="456"/>
      <c r="C5" s="456"/>
      <c r="D5" s="456"/>
      <c r="E5" s="456"/>
      <c r="F5" s="456"/>
      <c r="G5" s="456"/>
      <c r="H5" s="456"/>
      <c r="I5" s="456"/>
      <c r="J5" s="456"/>
      <c r="K5" s="456"/>
    </row>
    <row r="6" spans="1:11" ht="26.25" customHeight="1">
      <c r="A6" s="451" t="s">
        <v>122</v>
      </c>
      <c r="B6" s="451"/>
      <c r="C6" s="451" t="s">
        <v>123</v>
      </c>
      <c r="D6" s="451" t="s">
        <v>124</v>
      </c>
      <c r="E6" s="450" t="s">
        <v>125</v>
      </c>
      <c r="F6" s="450" t="s">
        <v>126</v>
      </c>
      <c r="G6" s="450"/>
      <c r="H6" s="450"/>
      <c r="I6" s="314" t="s">
        <v>181</v>
      </c>
      <c r="J6" s="314" t="s">
        <v>207</v>
      </c>
      <c r="K6" s="451" t="s">
        <v>127</v>
      </c>
    </row>
    <row r="7" spans="1:11" ht="56.25" customHeight="1">
      <c r="A7" s="451"/>
      <c r="B7" s="451"/>
      <c r="C7" s="451"/>
      <c r="D7" s="451"/>
      <c r="E7" s="450"/>
      <c r="F7" s="450" t="s">
        <v>433</v>
      </c>
      <c r="G7" s="450" t="s">
        <v>434</v>
      </c>
      <c r="H7" s="450" t="s">
        <v>435</v>
      </c>
      <c r="I7" s="454"/>
      <c r="J7" s="454"/>
      <c r="K7" s="451"/>
    </row>
    <row r="8" spans="1:11" ht="15">
      <c r="A8" s="13" t="s">
        <v>5</v>
      </c>
      <c r="B8" s="13" t="s">
        <v>6</v>
      </c>
      <c r="C8" s="451"/>
      <c r="D8" s="451"/>
      <c r="E8" s="450"/>
      <c r="F8" s="450"/>
      <c r="G8" s="450"/>
      <c r="H8" s="450"/>
      <c r="I8" s="455"/>
      <c r="J8" s="455"/>
      <c r="K8" s="451"/>
    </row>
    <row r="9" spans="1:11" ht="15">
      <c r="A9" s="13">
        <v>1</v>
      </c>
      <c r="B9" s="13">
        <v>2</v>
      </c>
      <c r="C9" s="62">
        <v>3</v>
      </c>
      <c r="D9" s="62">
        <v>4</v>
      </c>
      <c r="E9" s="62">
        <v>5</v>
      </c>
      <c r="F9" s="62">
        <v>6</v>
      </c>
      <c r="G9" s="62">
        <v>7</v>
      </c>
      <c r="H9" s="62">
        <v>8</v>
      </c>
      <c r="I9" s="63">
        <v>9</v>
      </c>
      <c r="J9" s="63">
        <v>10</v>
      </c>
      <c r="K9" s="62">
        <v>11</v>
      </c>
    </row>
    <row r="10" spans="1:12" s="14" customFormat="1" ht="15">
      <c r="A10" s="459" t="s">
        <v>128</v>
      </c>
      <c r="B10" s="460"/>
      <c r="C10" s="460"/>
      <c r="D10" s="460"/>
      <c r="E10" s="460"/>
      <c r="F10" s="460"/>
      <c r="G10" s="460"/>
      <c r="H10" s="460"/>
      <c r="I10" s="460"/>
      <c r="J10" s="460"/>
      <c r="K10" s="460"/>
      <c r="L10" s="86">
        <f>SUM(L11:L18,L20:L23,L25:L36,L38:L41,L43:L46,L48)/36</f>
        <v>0.9043186737988075</v>
      </c>
    </row>
    <row r="11" spans="1:12" s="14" customFormat="1" ht="26.25" customHeight="1">
      <c r="A11" s="221" t="s">
        <v>18</v>
      </c>
      <c r="B11" s="222">
        <v>1</v>
      </c>
      <c r="C11" s="223">
        <v>1</v>
      </c>
      <c r="D11" s="224" t="s">
        <v>191</v>
      </c>
      <c r="E11" s="221" t="s">
        <v>192</v>
      </c>
      <c r="F11" s="221" t="s">
        <v>183</v>
      </c>
      <c r="G11" s="221" t="s">
        <v>183</v>
      </c>
      <c r="H11" s="221" t="s">
        <v>183</v>
      </c>
      <c r="I11" s="197" t="s">
        <v>189</v>
      </c>
      <c r="J11" s="197" t="s">
        <v>189</v>
      </c>
      <c r="K11" s="232"/>
      <c r="L11" s="86">
        <v>1</v>
      </c>
    </row>
    <row r="12" spans="1:12" s="14" customFormat="1" ht="43.5" customHeight="1">
      <c r="A12" s="221" t="s">
        <v>18</v>
      </c>
      <c r="B12" s="222" t="s">
        <v>19</v>
      </c>
      <c r="C12" s="223">
        <v>2</v>
      </c>
      <c r="D12" s="224" t="s">
        <v>193</v>
      </c>
      <c r="E12" s="221" t="s">
        <v>194</v>
      </c>
      <c r="F12" s="221">
        <v>5.78</v>
      </c>
      <c r="G12" s="221">
        <v>3.5</v>
      </c>
      <c r="H12" s="34">
        <v>3.78</v>
      </c>
      <c r="I12" s="233">
        <f aca="true" t="shared" si="0" ref="I12:I17">H12/G12</f>
        <v>1.0799999999999998</v>
      </c>
      <c r="J12" s="233">
        <f aca="true" t="shared" si="1" ref="J12:J18">H12/F12*100</f>
        <v>65.39792387543251</v>
      </c>
      <c r="K12" s="59" t="s">
        <v>190</v>
      </c>
      <c r="L12" s="86">
        <f>H12/G12</f>
        <v>1.0799999999999998</v>
      </c>
    </row>
    <row r="13" spans="1:12" s="14" customFormat="1" ht="39.75" customHeight="1">
      <c r="A13" s="221" t="s">
        <v>18</v>
      </c>
      <c r="B13" s="222" t="s">
        <v>19</v>
      </c>
      <c r="C13" s="223">
        <v>3</v>
      </c>
      <c r="D13" s="224" t="s">
        <v>195</v>
      </c>
      <c r="E13" s="221" t="s">
        <v>439</v>
      </c>
      <c r="F13" s="221">
        <v>22.3</v>
      </c>
      <c r="G13" s="221">
        <v>22.75</v>
      </c>
      <c r="H13" s="234">
        <v>22.44</v>
      </c>
      <c r="I13" s="233">
        <f t="shared" si="0"/>
        <v>0.9863736263736265</v>
      </c>
      <c r="J13" s="233">
        <f t="shared" si="1"/>
        <v>100.62780269058295</v>
      </c>
      <c r="K13" s="235"/>
      <c r="L13" s="86">
        <v>1</v>
      </c>
    </row>
    <row r="14" spans="1:12" s="14" customFormat="1" ht="53.25" customHeight="1">
      <c r="A14" s="221" t="s">
        <v>18</v>
      </c>
      <c r="B14" s="222" t="s">
        <v>19</v>
      </c>
      <c r="C14" s="223">
        <v>4</v>
      </c>
      <c r="D14" s="228" t="s">
        <v>436</v>
      </c>
      <c r="E14" s="221" t="s">
        <v>196</v>
      </c>
      <c r="F14" s="221">
        <v>0.37</v>
      </c>
      <c r="G14" s="221">
        <v>0.35</v>
      </c>
      <c r="H14" s="234">
        <v>0.12</v>
      </c>
      <c r="I14" s="233">
        <f t="shared" si="0"/>
        <v>0.34285714285714286</v>
      </c>
      <c r="J14" s="233">
        <f t="shared" si="1"/>
        <v>32.432432432432435</v>
      </c>
      <c r="K14" s="59" t="s">
        <v>440</v>
      </c>
      <c r="L14" s="86">
        <f>H14/G14</f>
        <v>0.34285714285714286</v>
      </c>
    </row>
    <row r="15" spans="1:12" s="14" customFormat="1" ht="44.25" customHeight="1">
      <c r="A15" s="229" t="s">
        <v>18</v>
      </c>
      <c r="B15" s="230" t="s">
        <v>19</v>
      </c>
      <c r="C15" s="231">
        <v>5</v>
      </c>
      <c r="D15" s="227" t="s">
        <v>437</v>
      </c>
      <c r="E15" s="225" t="s">
        <v>196</v>
      </c>
      <c r="F15" s="225">
        <v>35962</v>
      </c>
      <c r="G15" s="225">
        <v>33891</v>
      </c>
      <c r="H15" s="236">
        <v>11417.6</v>
      </c>
      <c r="I15" s="233">
        <f t="shared" si="0"/>
        <v>0.33689180018293946</v>
      </c>
      <c r="J15" s="233">
        <f t="shared" si="1"/>
        <v>31.749068461153442</v>
      </c>
      <c r="K15" s="59" t="s">
        <v>440</v>
      </c>
      <c r="L15" s="86">
        <v>1</v>
      </c>
    </row>
    <row r="16" spans="1:12" s="14" customFormat="1" ht="71.25" customHeight="1">
      <c r="A16" s="448" t="s">
        <v>18</v>
      </c>
      <c r="B16" s="449" t="s">
        <v>19</v>
      </c>
      <c r="C16" s="231">
        <v>6</v>
      </c>
      <c r="D16" s="227" t="s">
        <v>438</v>
      </c>
      <c r="E16" s="231" t="s">
        <v>150</v>
      </c>
      <c r="F16" s="225">
        <v>600</v>
      </c>
      <c r="G16" s="225">
        <v>630</v>
      </c>
      <c r="H16" s="236">
        <v>208</v>
      </c>
      <c r="I16" s="233">
        <f t="shared" si="0"/>
        <v>0.33015873015873015</v>
      </c>
      <c r="J16" s="233">
        <f t="shared" si="1"/>
        <v>34.66666666666667</v>
      </c>
      <c r="K16" s="59" t="s">
        <v>440</v>
      </c>
      <c r="L16" s="86"/>
    </row>
    <row r="17" spans="1:12" s="14" customFormat="1" ht="279.75" customHeight="1">
      <c r="A17" s="448"/>
      <c r="B17" s="449"/>
      <c r="C17" s="231">
        <v>7</v>
      </c>
      <c r="D17" s="227" t="s">
        <v>197</v>
      </c>
      <c r="E17" s="231" t="s">
        <v>196</v>
      </c>
      <c r="F17" s="221">
        <v>85047</v>
      </c>
      <c r="G17" s="221">
        <v>3928</v>
      </c>
      <c r="H17" s="37">
        <v>70077</v>
      </c>
      <c r="I17" s="233">
        <f t="shared" si="0"/>
        <v>17.840376782077392</v>
      </c>
      <c r="J17" s="233">
        <f t="shared" si="1"/>
        <v>82.3979681822992</v>
      </c>
      <c r="K17" s="237" t="s">
        <v>441</v>
      </c>
      <c r="L17" s="86">
        <f>G17/H17</f>
        <v>0.05605262782367967</v>
      </c>
    </row>
    <row r="18" spans="1:12" s="14" customFormat="1" ht="220.5" customHeight="1">
      <c r="A18" s="221" t="s">
        <v>18</v>
      </c>
      <c r="B18" s="222" t="s">
        <v>19</v>
      </c>
      <c r="C18" s="223">
        <v>8</v>
      </c>
      <c r="D18" s="226" t="s">
        <v>198</v>
      </c>
      <c r="E18" s="221" t="s">
        <v>196</v>
      </c>
      <c r="F18" s="221">
        <v>9225</v>
      </c>
      <c r="G18" s="221">
        <v>1232</v>
      </c>
      <c r="H18" s="221">
        <v>7993</v>
      </c>
      <c r="I18" s="233">
        <f>G18/H18</f>
        <v>0.15413486800950832</v>
      </c>
      <c r="J18" s="233">
        <f t="shared" si="1"/>
        <v>86.6449864498645</v>
      </c>
      <c r="K18" s="237" t="s">
        <v>442</v>
      </c>
      <c r="L18" s="86">
        <f>G18/H18</f>
        <v>0.15413486800950832</v>
      </c>
    </row>
    <row r="19" spans="1:12" s="14" customFormat="1" ht="22.5" customHeight="1">
      <c r="A19" s="29"/>
      <c r="B19" s="29"/>
      <c r="C19" s="29"/>
      <c r="D19" s="452" t="s">
        <v>24</v>
      </c>
      <c r="E19" s="452"/>
      <c r="F19" s="452"/>
      <c r="G19" s="452"/>
      <c r="H19" s="452"/>
      <c r="I19" s="452"/>
      <c r="J19" s="452"/>
      <c r="K19" s="452"/>
      <c r="L19" s="87">
        <f>SUM(L11:L18)/10</f>
        <v>0.4633044638690332</v>
      </c>
    </row>
    <row r="20" spans="1:12" s="14" customFormat="1" ht="57" customHeight="1">
      <c r="A20" s="26" t="s">
        <v>18</v>
      </c>
      <c r="B20" s="26" t="s">
        <v>23</v>
      </c>
      <c r="C20" s="26" t="s">
        <v>19</v>
      </c>
      <c r="D20" s="23" t="s">
        <v>253</v>
      </c>
      <c r="E20" s="33" t="s">
        <v>130</v>
      </c>
      <c r="F20" s="33">
        <v>84.18</v>
      </c>
      <c r="G20" s="33">
        <v>85</v>
      </c>
      <c r="H20" s="33">
        <v>84.18</v>
      </c>
      <c r="I20" s="233">
        <f>H20/G20</f>
        <v>0.9903529411764707</v>
      </c>
      <c r="J20" s="233">
        <f>H20/F20*100</f>
        <v>100</v>
      </c>
      <c r="K20" s="32" t="s">
        <v>254</v>
      </c>
      <c r="L20" s="86">
        <v>1</v>
      </c>
    </row>
    <row r="21" spans="1:12" s="14" customFormat="1" ht="38.25" customHeight="1">
      <c r="A21" s="26" t="s">
        <v>18</v>
      </c>
      <c r="B21" s="26" t="s">
        <v>23</v>
      </c>
      <c r="C21" s="26" t="s">
        <v>23</v>
      </c>
      <c r="D21" s="23" t="s">
        <v>219</v>
      </c>
      <c r="E21" s="33" t="s">
        <v>154</v>
      </c>
      <c r="F21" s="33">
        <v>27</v>
      </c>
      <c r="G21" s="33">
        <v>38</v>
      </c>
      <c r="H21" s="33">
        <v>0</v>
      </c>
      <c r="I21" s="233">
        <f>H21/G21</f>
        <v>0</v>
      </c>
      <c r="J21" s="233">
        <f>H21/F21*100</f>
        <v>0</v>
      </c>
      <c r="K21" s="32" t="s">
        <v>444</v>
      </c>
      <c r="L21" s="86">
        <v>1</v>
      </c>
    </row>
    <row r="22" spans="1:12" s="14" customFormat="1" ht="32.25" customHeight="1">
      <c r="A22" s="26" t="s">
        <v>18</v>
      </c>
      <c r="B22" s="26" t="s">
        <v>23</v>
      </c>
      <c r="C22" s="26" t="s">
        <v>26</v>
      </c>
      <c r="D22" s="23" t="s">
        <v>153</v>
      </c>
      <c r="E22" s="33" t="s">
        <v>154</v>
      </c>
      <c r="F22" s="33">
        <v>1</v>
      </c>
      <c r="G22" s="33">
        <v>8</v>
      </c>
      <c r="H22" s="33">
        <v>0</v>
      </c>
      <c r="I22" s="233">
        <v>0</v>
      </c>
      <c r="J22" s="233">
        <v>0</v>
      </c>
      <c r="K22" s="32" t="s">
        <v>445</v>
      </c>
      <c r="L22" s="86">
        <v>1</v>
      </c>
    </row>
    <row r="23" spans="1:12" s="14" customFormat="1" ht="32.25" customHeight="1">
      <c r="A23" s="26" t="s">
        <v>18</v>
      </c>
      <c r="B23" s="26" t="s">
        <v>23</v>
      </c>
      <c r="C23" s="26" t="s">
        <v>44</v>
      </c>
      <c r="D23" s="23" t="s">
        <v>155</v>
      </c>
      <c r="E23" s="33" t="s">
        <v>156</v>
      </c>
      <c r="F23" s="33">
        <v>134</v>
      </c>
      <c r="G23" s="33">
        <v>1510.2</v>
      </c>
      <c r="H23" s="34">
        <v>0</v>
      </c>
      <c r="I23" s="233">
        <v>0</v>
      </c>
      <c r="J23" s="233">
        <v>0</v>
      </c>
      <c r="K23" s="32" t="s">
        <v>445</v>
      </c>
      <c r="L23" s="86">
        <v>1</v>
      </c>
    </row>
    <row r="24" spans="1:12" s="14" customFormat="1" ht="26.25" customHeight="1">
      <c r="A24" s="29" t="s">
        <v>18</v>
      </c>
      <c r="B24" s="29" t="s">
        <v>26</v>
      </c>
      <c r="C24" s="29"/>
      <c r="D24" s="452" t="s">
        <v>42</v>
      </c>
      <c r="E24" s="452"/>
      <c r="F24" s="452"/>
      <c r="G24" s="452"/>
      <c r="H24" s="452"/>
      <c r="I24" s="452"/>
      <c r="J24" s="452"/>
      <c r="K24" s="452"/>
      <c r="L24" s="87">
        <f>SUM(L20:L23)/4</f>
        <v>1</v>
      </c>
    </row>
    <row r="25" spans="1:12" s="14" customFormat="1" ht="55.5" customHeight="1">
      <c r="A25" s="222" t="s">
        <v>18</v>
      </c>
      <c r="B25" s="222" t="s">
        <v>26</v>
      </c>
      <c r="C25" s="222" t="s">
        <v>19</v>
      </c>
      <c r="D25" s="247" t="s">
        <v>129</v>
      </c>
      <c r="E25" s="53" t="s">
        <v>130</v>
      </c>
      <c r="F25" s="53">
        <v>53.3</v>
      </c>
      <c r="G25" s="53">
        <v>52.3</v>
      </c>
      <c r="H25" s="53">
        <v>53.3</v>
      </c>
      <c r="I25" s="233">
        <f>G25/H25</f>
        <v>0.9812382739212008</v>
      </c>
      <c r="J25" s="233">
        <f>H25/F25*100</f>
        <v>100</v>
      </c>
      <c r="K25" s="248" t="s">
        <v>446</v>
      </c>
      <c r="L25" s="86">
        <v>1</v>
      </c>
    </row>
    <row r="26" spans="1:12" s="14" customFormat="1" ht="53.25" customHeight="1">
      <c r="A26" s="222" t="s">
        <v>18</v>
      </c>
      <c r="B26" s="222" t="s">
        <v>26</v>
      </c>
      <c r="C26" s="222" t="s">
        <v>23</v>
      </c>
      <c r="D26" s="249" t="s">
        <v>131</v>
      </c>
      <c r="E26" s="53" t="s">
        <v>132</v>
      </c>
      <c r="F26" s="53">
        <v>11</v>
      </c>
      <c r="G26" s="53">
        <v>7</v>
      </c>
      <c r="H26" s="53">
        <v>13</v>
      </c>
      <c r="I26" s="233">
        <f>G26/H26</f>
        <v>0.5384615384615384</v>
      </c>
      <c r="J26" s="233">
        <f aca="true" t="shared" si="2" ref="J26:J36">H26/F26*100</f>
        <v>118.18181818181819</v>
      </c>
      <c r="K26" s="248" t="s">
        <v>446</v>
      </c>
      <c r="L26" s="86">
        <v>1</v>
      </c>
    </row>
    <row r="27" spans="1:12" s="14" customFormat="1" ht="52.5" customHeight="1">
      <c r="A27" s="250" t="s">
        <v>18</v>
      </c>
      <c r="B27" s="250" t="s">
        <v>26</v>
      </c>
      <c r="C27" s="250" t="s">
        <v>26</v>
      </c>
      <c r="D27" s="251" t="s">
        <v>133</v>
      </c>
      <c r="E27" s="235" t="s">
        <v>130</v>
      </c>
      <c r="F27" s="235">
        <v>65.4</v>
      </c>
      <c r="G27" s="235">
        <v>73</v>
      </c>
      <c r="H27" s="235">
        <v>63.4</v>
      </c>
      <c r="I27" s="246">
        <f>G27/H27</f>
        <v>1.1514195583596214</v>
      </c>
      <c r="J27" s="233">
        <f t="shared" si="2"/>
        <v>96.94189602446482</v>
      </c>
      <c r="K27" s="248" t="s">
        <v>446</v>
      </c>
      <c r="L27" s="86">
        <v>1</v>
      </c>
    </row>
    <row r="28" spans="1:12" s="14" customFormat="1" ht="51.75" customHeight="1">
      <c r="A28" s="250" t="s">
        <v>18</v>
      </c>
      <c r="B28" s="250" t="s">
        <v>26</v>
      </c>
      <c r="C28" s="250" t="s">
        <v>44</v>
      </c>
      <c r="D28" s="251" t="s">
        <v>134</v>
      </c>
      <c r="E28" s="235" t="s">
        <v>132</v>
      </c>
      <c r="F28" s="235">
        <v>39</v>
      </c>
      <c r="G28" s="235">
        <v>38</v>
      </c>
      <c r="H28" s="235">
        <v>11</v>
      </c>
      <c r="I28" s="246">
        <f>G28/H28</f>
        <v>3.4545454545454546</v>
      </c>
      <c r="J28" s="233">
        <f t="shared" si="2"/>
        <v>28.205128205128204</v>
      </c>
      <c r="K28" s="248" t="s">
        <v>446</v>
      </c>
      <c r="L28" s="86">
        <f>G28/H28</f>
        <v>3.4545454545454546</v>
      </c>
    </row>
    <row r="29" spans="1:12" s="14" customFormat="1" ht="50.25" customHeight="1">
      <c r="A29" s="222" t="s">
        <v>18</v>
      </c>
      <c r="B29" s="222" t="s">
        <v>26</v>
      </c>
      <c r="C29" s="222" t="s">
        <v>52</v>
      </c>
      <c r="D29" s="249" t="s">
        <v>135</v>
      </c>
      <c r="E29" s="53" t="s">
        <v>130</v>
      </c>
      <c r="F29" s="53">
        <v>95.4</v>
      </c>
      <c r="G29" s="53">
        <v>74.3</v>
      </c>
      <c r="H29" s="53">
        <v>95.4</v>
      </c>
      <c r="I29" s="233">
        <f>G29/H29</f>
        <v>0.7788259958071279</v>
      </c>
      <c r="J29" s="233">
        <f t="shared" si="2"/>
        <v>100</v>
      </c>
      <c r="K29" s="248" t="s">
        <v>446</v>
      </c>
      <c r="L29" s="86">
        <f>G29/H29</f>
        <v>0.7788259958071279</v>
      </c>
    </row>
    <row r="30" spans="1:12" s="14" customFormat="1" ht="54" customHeight="1">
      <c r="A30" s="222" t="s">
        <v>18</v>
      </c>
      <c r="B30" s="222" t="s">
        <v>26</v>
      </c>
      <c r="C30" s="222" t="s">
        <v>56</v>
      </c>
      <c r="D30" s="249" t="s">
        <v>136</v>
      </c>
      <c r="E30" s="53" t="s">
        <v>132</v>
      </c>
      <c r="F30" s="53">
        <v>134</v>
      </c>
      <c r="G30" s="53">
        <v>187</v>
      </c>
      <c r="H30" s="53">
        <v>73</v>
      </c>
      <c r="I30" s="233">
        <f aca="true" t="shared" si="3" ref="I30:I35">G30/H30</f>
        <v>2.5616438356164384</v>
      </c>
      <c r="J30" s="233">
        <f>H30/F30*100</f>
        <v>54.47761194029851</v>
      </c>
      <c r="K30" s="248" t="s">
        <v>446</v>
      </c>
      <c r="L30" s="86">
        <v>1</v>
      </c>
    </row>
    <row r="31" spans="1:12" s="14" customFormat="1" ht="52.5" customHeight="1">
      <c r="A31" s="222" t="s">
        <v>18</v>
      </c>
      <c r="B31" s="222" t="s">
        <v>26</v>
      </c>
      <c r="C31" s="222" t="s">
        <v>80</v>
      </c>
      <c r="D31" s="249" t="s">
        <v>137</v>
      </c>
      <c r="E31" s="53" t="s">
        <v>130</v>
      </c>
      <c r="F31" s="53">
        <v>68</v>
      </c>
      <c r="G31" s="53">
        <v>66</v>
      </c>
      <c r="H31" s="53">
        <v>68</v>
      </c>
      <c r="I31" s="233">
        <f t="shared" si="3"/>
        <v>0.9705882352941176</v>
      </c>
      <c r="J31" s="233">
        <f t="shared" si="2"/>
        <v>100</v>
      </c>
      <c r="K31" s="248" t="s">
        <v>446</v>
      </c>
      <c r="L31" s="86">
        <v>1</v>
      </c>
    </row>
    <row r="32" spans="1:12" s="14" customFormat="1" ht="51.75" customHeight="1">
      <c r="A32" s="222" t="s">
        <v>18</v>
      </c>
      <c r="B32" s="222" t="s">
        <v>26</v>
      </c>
      <c r="C32" s="222" t="s">
        <v>81</v>
      </c>
      <c r="D32" s="249" t="s">
        <v>138</v>
      </c>
      <c r="E32" s="53" t="s">
        <v>132</v>
      </c>
      <c r="F32" s="53">
        <v>30</v>
      </c>
      <c r="G32" s="53">
        <v>11</v>
      </c>
      <c r="H32" s="53">
        <v>63</v>
      </c>
      <c r="I32" s="233">
        <f t="shared" si="3"/>
        <v>0.1746031746031746</v>
      </c>
      <c r="J32" s="233">
        <f t="shared" si="2"/>
        <v>210</v>
      </c>
      <c r="K32" s="248" t="s">
        <v>446</v>
      </c>
      <c r="L32" s="86">
        <v>1</v>
      </c>
    </row>
    <row r="33" spans="1:12" s="14" customFormat="1" ht="58.5" customHeight="1">
      <c r="A33" s="222" t="s">
        <v>18</v>
      </c>
      <c r="B33" s="222" t="s">
        <v>26</v>
      </c>
      <c r="C33" s="222" t="s">
        <v>82</v>
      </c>
      <c r="D33" s="249" t="s">
        <v>139</v>
      </c>
      <c r="E33" s="53" t="s">
        <v>132</v>
      </c>
      <c r="F33" s="53">
        <v>1099</v>
      </c>
      <c r="G33" s="53">
        <v>980</v>
      </c>
      <c r="H33" s="53">
        <v>552</v>
      </c>
      <c r="I33" s="233">
        <f t="shared" si="3"/>
        <v>1.7753623188405796</v>
      </c>
      <c r="J33" s="233">
        <f t="shared" si="2"/>
        <v>50.227479526842586</v>
      </c>
      <c r="K33" s="248" t="s">
        <v>446</v>
      </c>
      <c r="L33" s="86">
        <f>G33/H33</f>
        <v>1.7753623188405796</v>
      </c>
    </row>
    <row r="34" spans="1:12" s="14" customFormat="1" ht="48" customHeight="1">
      <c r="A34" s="222" t="s">
        <v>18</v>
      </c>
      <c r="B34" s="222" t="s">
        <v>26</v>
      </c>
      <c r="C34" s="222" t="s">
        <v>140</v>
      </c>
      <c r="D34" s="249" t="s">
        <v>141</v>
      </c>
      <c r="E34" s="53" t="s">
        <v>130</v>
      </c>
      <c r="F34" s="53">
        <v>72.8</v>
      </c>
      <c r="G34" s="53">
        <v>72.8</v>
      </c>
      <c r="H34" s="53">
        <v>73.2</v>
      </c>
      <c r="I34" s="233">
        <f t="shared" si="3"/>
        <v>0.9945355191256829</v>
      </c>
      <c r="J34" s="233">
        <f t="shared" si="2"/>
        <v>100.54945054945054</v>
      </c>
      <c r="K34" s="248" t="s">
        <v>446</v>
      </c>
      <c r="L34" s="86">
        <v>1</v>
      </c>
    </row>
    <row r="35" spans="1:12" s="14" customFormat="1" ht="61.5" customHeight="1">
      <c r="A35" s="222" t="s">
        <v>18</v>
      </c>
      <c r="B35" s="222" t="s">
        <v>26</v>
      </c>
      <c r="C35" s="222" t="s">
        <v>142</v>
      </c>
      <c r="D35" s="249" t="s">
        <v>143</v>
      </c>
      <c r="E35" s="53" t="s">
        <v>130</v>
      </c>
      <c r="F35" s="53">
        <v>63</v>
      </c>
      <c r="G35" s="53">
        <v>60.6</v>
      </c>
      <c r="H35" s="53">
        <v>63</v>
      </c>
      <c r="I35" s="233">
        <f t="shared" si="3"/>
        <v>0.9619047619047619</v>
      </c>
      <c r="J35" s="233">
        <f t="shared" si="2"/>
        <v>100</v>
      </c>
      <c r="K35" s="248" t="s">
        <v>446</v>
      </c>
      <c r="L35" s="86">
        <v>1</v>
      </c>
    </row>
    <row r="36" spans="1:12" s="14" customFormat="1" ht="161.25" customHeight="1">
      <c r="A36" s="222" t="s">
        <v>18</v>
      </c>
      <c r="B36" s="222" t="s">
        <v>26</v>
      </c>
      <c r="C36" s="222" t="s">
        <v>35</v>
      </c>
      <c r="D36" s="249" t="s">
        <v>204</v>
      </c>
      <c r="E36" s="231" t="s">
        <v>130</v>
      </c>
      <c r="F36" s="231">
        <v>81.25</v>
      </c>
      <c r="G36" s="231">
        <v>80</v>
      </c>
      <c r="H36" s="231">
        <v>86.67</v>
      </c>
      <c r="I36" s="233">
        <f>H36/G36</f>
        <v>1.083375</v>
      </c>
      <c r="J36" s="233">
        <f t="shared" si="2"/>
        <v>106.67076923076924</v>
      </c>
      <c r="K36" s="69" t="s">
        <v>254</v>
      </c>
      <c r="L36" s="86">
        <v>1</v>
      </c>
    </row>
    <row r="37" spans="1:12" s="14" customFormat="1" ht="18.75" customHeight="1">
      <c r="A37" s="458" t="s">
        <v>45</v>
      </c>
      <c r="B37" s="458"/>
      <c r="C37" s="458"/>
      <c r="D37" s="458"/>
      <c r="E37" s="458"/>
      <c r="F37" s="458"/>
      <c r="G37" s="458"/>
      <c r="H37" s="458"/>
      <c r="I37" s="458"/>
      <c r="J37" s="458"/>
      <c r="K37" s="458"/>
      <c r="L37" s="87">
        <f>SUM(L25:L36)/12</f>
        <v>1.2507278140994302</v>
      </c>
    </row>
    <row r="38" spans="1:12" s="14" customFormat="1" ht="47.25" customHeight="1">
      <c r="A38" s="26" t="s">
        <v>18</v>
      </c>
      <c r="B38" s="26">
        <v>4</v>
      </c>
      <c r="C38" s="26">
        <v>1</v>
      </c>
      <c r="D38" s="243" t="s">
        <v>148</v>
      </c>
      <c r="E38" s="37" t="s">
        <v>132</v>
      </c>
      <c r="F38" s="37">
        <v>1</v>
      </c>
      <c r="G38" s="37">
        <v>1</v>
      </c>
      <c r="H38" s="37">
        <v>1</v>
      </c>
      <c r="I38" s="244">
        <f>H38/G38</f>
        <v>1</v>
      </c>
      <c r="J38" s="72">
        <f>H38/F38</f>
        <v>1</v>
      </c>
      <c r="K38" s="43"/>
      <c r="L38" s="86">
        <v>1</v>
      </c>
    </row>
    <row r="39" spans="1:12" s="14" customFormat="1" ht="25.5" customHeight="1">
      <c r="A39" s="26" t="s">
        <v>18</v>
      </c>
      <c r="B39" s="26">
        <v>4</v>
      </c>
      <c r="C39" s="26">
        <v>2</v>
      </c>
      <c r="D39" s="243" t="s">
        <v>237</v>
      </c>
      <c r="E39" s="37" t="s">
        <v>149</v>
      </c>
      <c r="F39" s="37">
        <v>201.57</v>
      </c>
      <c r="G39" s="37">
        <v>220.61</v>
      </c>
      <c r="H39" s="37">
        <v>201.57</v>
      </c>
      <c r="I39" s="244">
        <f>H39/G39</f>
        <v>0.9136938488735777</v>
      </c>
      <c r="J39" s="72">
        <f>H39/F39</f>
        <v>1</v>
      </c>
      <c r="K39" s="43" t="s">
        <v>272</v>
      </c>
      <c r="L39" s="86">
        <f>H39/G39</f>
        <v>0.9136938488735777</v>
      </c>
    </row>
    <row r="40" spans="1:12" s="14" customFormat="1" ht="36" customHeight="1">
      <c r="A40" s="26" t="s">
        <v>18</v>
      </c>
      <c r="B40" s="26">
        <v>4</v>
      </c>
      <c r="C40" s="26">
        <v>3</v>
      </c>
      <c r="D40" s="243" t="s">
        <v>239</v>
      </c>
      <c r="E40" s="37" t="s">
        <v>150</v>
      </c>
      <c r="F40" s="37">
        <v>5596</v>
      </c>
      <c r="G40" s="37">
        <v>5241</v>
      </c>
      <c r="H40" s="245">
        <v>5618</v>
      </c>
      <c r="I40" s="244">
        <f>H40/G40</f>
        <v>1.0719328372448007</v>
      </c>
      <c r="J40" s="72">
        <f>H40/F40</f>
        <v>1.0039313795568263</v>
      </c>
      <c r="K40" s="43" t="s">
        <v>273</v>
      </c>
      <c r="L40" s="86">
        <v>1</v>
      </c>
    </row>
    <row r="41" spans="1:12" s="14" customFormat="1" ht="25.5" customHeight="1">
      <c r="A41" s="26" t="s">
        <v>18</v>
      </c>
      <c r="B41" s="26">
        <v>4</v>
      </c>
      <c r="C41" s="26">
        <v>4</v>
      </c>
      <c r="D41" s="243" t="s">
        <v>151</v>
      </c>
      <c r="E41" s="37" t="s">
        <v>152</v>
      </c>
      <c r="F41" s="37">
        <v>0</v>
      </c>
      <c r="G41" s="37">
        <v>0</v>
      </c>
      <c r="H41" s="37">
        <v>0</v>
      </c>
      <c r="I41" s="244">
        <v>1</v>
      </c>
      <c r="J41" s="72">
        <v>0</v>
      </c>
      <c r="K41" s="43" t="s">
        <v>238</v>
      </c>
      <c r="L41" s="86">
        <v>1</v>
      </c>
    </row>
    <row r="42" spans="1:12" s="14" customFormat="1" ht="20.25" customHeight="1">
      <c r="A42" s="458" t="s">
        <v>93</v>
      </c>
      <c r="B42" s="458"/>
      <c r="C42" s="458"/>
      <c r="D42" s="458"/>
      <c r="E42" s="458"/>
      <c r="F42" s="458"/>
      <c r="G42" s="458"/>
      <c r="H42" s="458"/>
      <c r="I42" s="458"/>
      <c r="J42" s="458"/>
      <c r="K42" s="458"/>
      <c r="L42" s="87">
        <f>SUM(L38:L41)/4</f>
        <v>0.9784234622183945</v>
      </c>
    </row>
    <row r="43" spans="1:12" s="14" customFormat="1" ht="82.5" customHeight="1">
      <c r="A43" s="26" t="s">
        <v>18</v>
      </c>
      <c r="B43" s="26">
        <v>5</v>
      </c>
      <c r="C43" s="26">
        <v>1</v>
      </c>
      <c r="D43" s="23" t="s">
        <v>144</v>
      </c>
      <c r="E43" s="33" t="s">
        <v>130</v>
      </c>
      <c r="F43" s="73">
        <v>47.3</v>
      </c>
      <c r="G43" s="76">
        <v>49.35</v>
      </c>
      <c r="H43" s="73">
        <v>47.27</v>
      </c>
      <c r="I43" s="84">
        <f>H43/G43</f>
        <v>0.9578520770010132</v>
      </c>
      <c r="J43" s="72">
        <f>H43/F43</f>
        <v>0.9993657505285414</v>
      </c>
      <c r="K43" s="43" t="s">
        <v>274</v>
      </c>
      <c r="L43" s="86">
        <v>1</v>
      </c>
    </row>
    <row r="44" spans="1:12" s="14" customFormat="1" ht="59.25" customHeight="1">
      <c r="A44" s="26" t="s">
        <v>18</v>
      </c>
      <c r="B44" s="26">
        <v>5</v>
      </c>
      <c r="C44" s="26" t="s">
        <v>23</v>
      </c>
      <c r="D44" s="23" t="s">
        <v>443</v>
      </c>
      <c r="E44" s="33" t="s">
        <v>130</v>
      </c>
      <c r="F44" s="73">
        <v>84.17</v>
      </c>
      <c r="G44" s="76">
        <v>83.01</v>
      </c>
      <c r="H44" s="73">
        <v>83.01</v>
      </c>
      <c r="I44" s="84">
        <f>H44/G44</f>
        <v>1</v>
      </c>
      <c r="J44" s="72">
        <f>H44/F44</f>
        <v>0.9862183675894024</v>
      </c>
      <c r="K44" s="60"/>
      <c r="L44" s="86">
        <f>H44/G44</f>
        <v>1</v>
      </c>
    </row>
    <row r="45" spans="1:12" s="14" customFormat="1" ht="36" customHeight="1">
      <c r="A45" s="26" t="s">
        <v>18</v>
      </c>
      <c r="B45" s="26">
        <v>5</v>
      </c>
      <c r="C45" s="26" t="s">
        <v>26</v>
      </c>
      <c r="D45" s="23" t="s">
        <v>145</v>
      </c>
      <c r="E45" s="33" t="s">
        <v>146</v>
      </c>
      <c r="F45" s="73">
        <v>0</v>
      </c>
      <c r="G45" s="73">
        <v>0</v>
      </c>
      <c r="H45" s="73">
        <v>0</v>
      </c>
      <c r="I45" s="84">
        <v>0</v>
      </c>
      <c r="J45" s="72">
        <v>1</v>
      </c>
      <c r="K45" s="36" t="s">
        <v>345</v>
      </c>
      <c r="L45" s="86">
        <v>1</v>
      </c>
    </row>
    <row r="46" spans="1:17" s="14" customFormat="1" ht="35.25" customHeight="1">
      <c r="A46" s="26" t="s">
        <v>18</v>
      </c>
      <c r="B46" s="26">
        <v>5</v>
      </c>
      <c r="C46" s="26" t="s">
        <v>44</v>
      </c>
      <c r="D46" s="23" t="s">
        <v>147</v>
      </c>
      <c r="E46" s="33" t="s">
        <v>146</v>
      </c>
      <c r="F46" s="76">
        <v>5.78</v>
      </c>
      <c r="G46" s="76">
        <v>1.5</v>
      </c>
      <c r="H46" s="76">
        <v>0</v>
      </c>
      <c r="I46" s="84">
        <f>H46/G46</f>
        <v>0</v>
      </c>
      <c r="J46" s="72">
        <f>H46/F46</f>
        <v>0</v>
      </c>
      <c r="K46" s="59" t="s">
        <v>344</v>
      </c>
      <c r="L46" s="86">
        <v>1</v>
      </c>
      <c r="M46" s="153" t="s">
        <v>319</v>
      </c>
      <c r="N46" s="153"/>
      <c r="O46" s="153"/>
      <c r="P46" s="153"/>
      <c r="Q46" s="153"/>
    </row>
    <row r="47" spans="1:12" s="14" customFormat="1" ht="16.5" customHeight="1">
      <c r="A47" s="457" t="s">
        <v>71</v>
      </c>
      <c r="B47" s="351"/>
      <c r="C47" s="351"/>
      <c r="D47" s="351"/>
      <c r="E47" s="351"/>
      <c r="F47" s="351"/>
      <c r="G47" s="351"/>
      <c r="H47" s="351"/>
      <c r="I47" s="196"/>
      <c r="J47" s="196"/>
      <c r="K47" s="196"/>
      <c r="L47" s="87">
        <f>SUM(L43:L46)/5</f>
        <v>0.8</v>
      </c>
    </row>
    <row r="48" spans="1:12" s="14" customFormat="1" ht="74.25" customHeight="1">
      <c r="A48" s="238" t="s">
        <v>18</v>
      </c>
      <c r="B48" s="239" t="s">
        <v>56</v>
      </c>
      <c r="C48" s="240">
        <v>1</v>
      </c>
      <c r="D48" s="241" t="s">
        <v>172</v>
      </c>
      <c r="E48" s="238" t="s">
        <v>130</v>
      </c>
      <c r="F48" s="238">
        <v>0</v>
      </c>
      <c r="G48" s="238">
        <v>0</v>
      </c>
      <c r="H48" s="238">
        <v>0</v>
      </c>
      <c r="I48" s="242">
        <v>1</v>
      </c>
      <c r="J48" s="72">
        <v>1</v>
      </c>
      <c r="K48" s="238">
        <v>0</v>
      </c>
      <c r="L48" s="87">
        <v>1</v>
      </c>
    </row>
  </sheetData>
  <sheetProtection/>
  <mergeCells count="23">
    <mergeCell ref="A47:H47"/>
    <mergeCell ref="A37:K37"/>
    <mergeCell ref="D24:K24"/>
    <mergeCell ref="F6:H6"/>
    <mergeCell ref="H7:H8"/>
    <mergeCell ref="A42:K42"/>
    <mergeCell ref="A10:K10"/>
    <mergeCell ref="A2:K2"/>
    <mergeCell ref="I6:I8"/>
    <mergeCell ref="K6:K8"/>
    <mergeCell ref="F7:F8"/>
    <mergeCell ref="J6:J8"/>
    <mergeCell ref="A5:K5"/>
    <mergeCell ref="A3:Q3"/>
    <mergeCell ref="A6:B7"/>
    <mergeCell ref="E6:E8"/>
    <mergeCell ref="D6:D8"/>
    <mergeCell ref="A4:Q4"/>
    <mergeCell ref="A16:A17"/>
    <mergeCell ref="B16:B17"/>
    <mergeCell ref="G7:G8"/>
    <mergeCell ref="C6:C8"/>
    <mergeCell ref="D19:K19"/>
  </mergeCells>
  <printOptions/>
  <pageMargins left="0.11811023622047245" right="0.11811023622047245" top="0.5905511811023623" bottom="0.5905511811023623" header="0.31496062992125984" footer="0.31496062992125984"/>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1">
      <selection activeCell="E23" sqref="E23"/>
    </sheetView>
  </sheetViews>
  <sheetFormatPr defaultColWidth="9.140625" defaultRowHeight="15"/>
  <cols>
    <col min="1" max="1" width="7.57421875" style="0" customWidth="1"/>
    <col min="2" max="2" width="52.421875" style="0" customWidth="1"/>
    <col min="3" max="3" width="13.28125" style="0" customWidth="1"/>
    <col min="4" max="4" width="10.28125" style="0" customWidth="1"/>
    <col min="5" max="5" width="67.8515625" style="0" customWidth="1"/>
  </cols>
  <sheetData>
    <row r="1" ht="26.25" customHeight="1">
      <c r="E1" s="15" t="s">
        <v>255</v>
      </c>
    </row>
    <row r="2" spans="1:5" ht="30" customHeight="1">
      <c r="A2" s="461" t="s">
        <v>289</v>
      </c>
      <c r="B2" s="461"/>
      <c r="C2" s="461"/>
      <c r="D2" s="461"/>
      <c r="E2" s="461"/>
    </row>
    <row r="3" spans="1:17" ht="30" customHeight="1">
      <c r="A3" s="273" t="s">
        <v>286</v>
      </c>
      <c r="B3" s="382"/>
      <c r="C3" s="382"/>
      <c r="D3" s="382"/>
      <c r="E3" s="382"/>
      <c r="F3" s="382"/>
      <c r="G3" s="382"/>
      <c r="H3" s="382"/>
      <c r="I3" s="382"/>
      <c r="J3" s="382"/>
      <c r="K3" s="382"/>
      <c r="L3" s="382"/>
      <c r="M3" s="382"/>
      <c r="N3" s="382"/>
      <c r="O3" s="382"/>
      <c r="P3" s="382"/>
      <c r="Q3" s="382"/>
    </row>
    <row r="4" spans="1:17" ht="30" customHeight="1">
      <c r="A4" s="273" t="s">
        <v>287</v>
      </c>
      <c r="B4" s="382"/>
      <c r="C4" s="382"/>
      <c r="D4" s="382"/>
      <c r="E4" s="382"/>
      <c r="F4" s="382"/>
      <c r="G4" s="382"/>
      <c r="H4" s="382"/>
      <c r="I4" s="382"/>
      <c r="J4" s="382"/>
      <c r="K4" s="382"/>
      <c r="L4" s="382"/>
      <c r="M4" s="382"/>
      <c r="N4" s="382"/>
      <c r="O4" s="382"/>
      <c r="P4" s="382"/>
      <c r="Q4" s="382"/>
    </row>
    <row r="5" spans="1:11" ht="15.75" customHeight="1">
      <c r="A5" s="462"/>
      <c r="B5" s="463"/>
      <c r="C5" s="463"/>
      <c r="D5" s="463"/>
      <c r="E5" s="463"/>
      <c r="F5" s="96"/>
      <c r="G5" s="96"/>
      <c r="H5" s="96"/>
      <c r="I5" s="96"/>
      <c r="J5" s="96"/>
      <c r="K5" s="96"/>
    </row>
    <row r="6" spans="1:5" ht="31.5">
      <c r="A6" s="77" t="s">
        <v>123</v>
      </c>
      <c r="B6" s="78" t="s">
        <v>256</v>
      </c>
      <c r="C6" s="79" t="s">
        <v>257</v>
      </c>
      <c r="D6" s="78" t="s">
        <v>258</v>
      </c>
      <c r="E6" s="78" t="s">
        <v>259</v>
      </c>
    </row>
    <row r="7" spans="1:5" ht="31.5">
      <c r="A7" s="80">
        <v>1</v>
      </c>
      <c r="B7" s="81" t="s">
        <v>260</v>
      </c>
      <c r="C7" s="82" t="s">
        <v>262</v>
      </c>
      <c r="D7" s="80">
        <v>208</v>
      </c>
      <c r="E7" s="77" t="s">
        <v>261</v>
      </c>
    </row>
    <row r="8" spans="1:5" ht="31.5">
      <c r="A8" s="83">
        <v>2</v>
      </c>
      <c r="B8" s="81" t="s">
        <v>260</v>
      </c>
      <c r="C8" s="82" t="s">
        <v>276</v>
      </c>
      <c r="D8" s="80">
        <v>767</v>
      </c>
      <c r="E8" s="77" t="s">
        <v>261</v>
      </c>
    </row>
    <row r="9" spans="1:5" ht="36" customHeight="1">
      <c r="A9" s="80">
        <v>3</v>
      </c>
      <c r="B9" s="81" t="s">
        <v>260</v>
      </c>
      <c r="C9" s="82" t="s">
        <v>277</v>
      </c>
      <c r="D9" s="80">
        <v>962</v>
      </c>
      <c r="E9" s="77" t="s">
        <v>318</v>
      </c>
    </row>
    <row r="10" spans="1:5" ht="31.5">
      <c r="A10" s="83">
        <v>4</v>
      </c>
      <c r="B10" s="81" t="s">
        <v>260</v>
      </c>
      <c r="C10" s="82" t="s">
        <v>313</v>
      </c>
      <c r="D10" s="80">
        <v>1636</v>
      </c>
      <c r="E10" s="77" t="s">
        <v>261</v>
      </c>
    </row>
    <row r="11" spans="1:5" ht="15.75">
      <c r="A11" s="80">
        <v>5</v>
      </c>
      <c r="B11" s="81" t="s">
        <v>260</v>
      </c>
      <c r="C11" s="82" t="s">
        <v>314</v>
      </c>
      <c r="D11" s="80">
        <v>2112</v>
      </c>
      <c r="E11" s="77" t="s">
        <v>315</v>
      </c>
    </row>
  </sheetData>
  <sheetProtection/>
  <mergeCells count="4">
    <mergeCell ref="A2:E2"/>
    <mergeCell ref="A5:E5"/>
    <mergeCell ref="A3:Q3"/>
    <mergeCell ref="A4:Q4"/>
  </mergeCells>
  <printOptions/>
  <pageMargins left="0.31496062992125984" right="0.31496062992125984" top="0.7480314960629921" bottom="0.7480314960629921"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U18"/>
  <sheetViews>
    <sheetView zoomScalePageLayoutView="0" workbookViewId="0" topLeftCell="A1">
      <selection activeCell="G14" sqref="G14"/>
    </sheetView>
  </sheetViews>
  <sheetFormatPr defaultColWidth="9.140625" defaultRowHeight="15"/>
  <cols>
    <col min="1" max="2" width="4.7109375" style="0" customWidth="1"/>
    <col min="3" max="3" width="22.421875" style="0" customWidth="1"/>
    <col min="4" max="4" width="15.00390625" style="0" customWidth="1"/>
    <col min="5" max="5" width="17.421875" style="0" customWidth="1"/>
    <col min="6" max="6" width="17.8515625" style="0" customWidth="1"/>
    <col min="7" max="7" width="13.7109375" style="0" customWidth="1"/>
    <col min="8" max="8" width="13.140625" style="0" customWidth="1"/>
    <col min="9" max="9" width="13.57421875" style="0" customWidth="1"/>
    <col min="10" max="10" width="13.28125" style="0" customWidth="1"/>
  </cols>
  <sheetData>
    <row r="1" ht="24.75" customHeight="1">
      <c r="J1" t="s">
        <v>307</v>
      </c>
    </row>
    <row r="2" spans="1:10" ht="24" customHeight="1">
      <c r="A2" s="466" t="s">
        <v>308</v>
      </c>
      <c r="B2" s="467"/>
      <c r="C2" s="467"/>
      <c r="D2" s="467"/>
      <c r="E2" s="467"/>
      <c r="F2" s="467"/>
      <c r="G2" s="467"/>
      <c r="H2" s="467"/>
      <c r="I2" s="467"/>
      <c r="J2" s="467"/>
    </row>
    <row r="3" spans="1:17" ht="24" customHeight="1">
      <c r="A3" s="273" t="s">
        <v>286</v>
      </c>
      <c r="B3" s="382"/>
      <c r="C3" s="382"/>
      <c r="D3" s="382"/>
      <c r="E3" s="382"/>
      <c r="F3" s="382"/>
      <c r="G3" s="382"/>
      <c r="H3" s="382"/>
      <c r="I3" s="382"/>
      <c r="J3" s="382"/>
      <c r="K3" s="382"/>
      <c r="L3" s="382"/>
      <c r="M3" s="382"/>
      <c r="N3" s="382"/>
      <c r="O3" s="382"/>
      <c r="P3" s="382"/>
      <c r="Q3" s="382"/>
    </row>
    <row r="4" spans="1:17" ht="24" customHeight="1">
      <c r="A4" s="273" t="s">
        <v>287</v>
      </c>
      <c r="B4" s="382"/>
      <c r="C4" s="382"/>
      <c r="D4" s="382"/>
      <c r="E4" s="382"/>
      <c r="F4" s="382"/>
      <c r="G4" s="382"/>
      <c r="H4" s="382"/>
      <c r="I4" s="382"/>
      <c r="J4" s="382"/>
      <c r="K4" s="382"/>
      <c r="L4" s="382"/>
      <c r="M4" s="382"/>
      <c r="N4" s="382"/>
      <c r="O4" s="382"/>
      <c r="P4" s="382"/>
      <c r="Q4" s="382"/>
    </row>
    <row r="5" spans="1:10" ht="24" customHeight="1">
      <c r="A5" s="102"/>
      <c r="B5" s="103"/>
      <c r="C5" s="103"/>
      <c r="D5" s="103"/>
      <c r="E5" s="103"/>
      <c r="F5" s="103"/>
      <c r="G5" s="103"/>
      <c r="H5" s="103"/>
      <c r="I5" s="103"/>
      <c r="J5" s="103"/>
    </row>
    <row r="6" spans="1:10" ht="95.25" customHeight="1">
      <c r="A6" s="468" t="s">
        <v>0</v>
      </c>
      <c r="B6" s="468"/>
      <c r="C6" s="469" t="s">
        <v>290</v>
      </c>
      <c r="D6" s="469" t="s">
        <v>291</v>
      </c>
      <c r="E6" s="469" t="s">
        <v>292</v>
      </c>
      <c r="F6" s="104" t="s">
        <v>293</v>
      </c>
      <c r="G6" s="104" t="s">
        <v>294</v>
      </c>
      <c r="H6" s="104" t="s">
        <v>295</v>
      </c>
      <c r="I6" s="104" t="s">
        <v>296</v>
      </c>
      <c r="J6" s="104" t="s">
        <v>297</v>
      </c>
    </row>
    <row r="7" spans="1:10" s="106" customFormat="1" ht="15">
      <c r="A7" s="104" t="s">
        <v>5</v>
      </c>
      <c r="B7" s="104" t="s">
        <v>6</v>
      </c>
      <c r="C7" s="469"/>
      <c r="D7" s="470"/>
      <c r="E7" s="470"/>
      <c r="F7" s="105" t="s">
        <v>298</v>
      </c>
      <c r="G7" s="105" t="s">
        <v>299</v>
      </c>
      <c r="H7" s="105" t="s">
        <v>300</v>
      </c>
      <c r="I7" s="105" t="s">
        <v>301</v>
      </c>
      <c r="J7" s="105" t="s">
        <v>302</v>
      </c>
    </row>
    <row r="8" spans="1:10" s="106" customFormat="1" ht="15">
      <c r="A8" s="104">
        <v>1</v>
      </c>
      <c r="B8" s="104">
        <v>2</v>
      </c>
      <c r="C8" s="104">
        <v>3</v>
      </c>
      <c r="D8" s="105">
        <v>4</v>
      </c>
      <c r="E8" s="105">
        <v>5</v>
      </c>
      <c r="F8" s="105">
        <v>6</v>
      </c>
      <c r="G8" s="105">
        <v>7</v>
      </c>
      <c r="H8" s="105">
        <v>8</v>
      </c>
      <c r="I8" s="105">
        <v>9</v>
      </c>
      <c r="J8" s="105">
        <v>10</v>
      </c>
    </row>
    <row r="9" spans="1:10" s="106" customFormat="1" ht="48" customHeight="1">
      <c r="A9" s="107" t="s">
        <v>18</v>
      </c>
      <c r="B9" s="104"/>
      <c r="C9" s="104" t="s">
        <v>303</v>
      </c>
      <c r="D9" s="53" t="s">
        <v>316</v>
      </c>
      <c r="E9" s="53" t="s">
        <v>304</v>
      </c>
      <c r="F9" s="108">
        <f aca="true" t="shared" si="0" ref="F9:F15">G9*J9</f>
        <v>10.568668002681093</v>
      </c>
      <c r="G9" s="109">
        <f>'ф5'!L10</f>
        <v>0.9043186737988075</v>
      </c>
      <c r="H9" s="109">
        <f>63/73</f>
        <v>0.863013698630137</v>
      </c>
      <c r="I9" s="109">
        <f>'ф2'!F9/'ф2'!E9</f>
        <v>0.07384463238105547</v>
      </c>
      <c r="J9" s="108">
        <f aca="true" t="shared" si="1" ref="J9:J15">H9/I9</f>
        <v>11.686884622524568</v>
      </c>
    </row>
    <row r="10" spans="1:10" s="106" customFormat="1" ht="42.75" customHeight="1">
      <c r="A10" s="107" t="s">
        <v>18</v>
      </c>
      <c r="B10" s="104">
        <v>1</v>
      </c>
      <c r="C10" s="110" t="s">
        <v>305</v>
      </c>
      <c r="D10" s="53" t="s">
        <v>316</v>
      </c>
      <c r="E10" s="100" t="s">
        <v>187</v>
      </c>
      <c r="F10" s="108">
        <f>G10*J10</f>
        <v>0.42469575854661373</v>
      </c>
      <c r="G10" s="111">
        <f>'ф5'!L19</f>
        <v>0.4633044638690332</v>
      </c>
      <c r="H10" s="111">
        <f>11/12</f>
        <v>0.9166666666666666</v>
      </c>
      <c r="I10" s="100">
        <v>1</v>
      </c>
      <c r="J10" s="108">
        <f t="shared" si="1"/>
        <v>0.9166666666666666</v>
      </c>
    </row>
    <row r="11" spans="1:21" ht="44.25" customHeight="1">
      <c r="A11" s="107" t="s">
        <v>18</v>
      </c>
      <c r="B11" s="104">
        <v>2</v>
      </c>
      <c r="C11" s="112" t="s">
        <v>24</v>
      </c>
      <c r="D11" s="53" t="s">
        <v>316</v>
      </c>
      <c r="E11" s="53" t="s">
        <v>304</v>
      </c>
      <c r="F11" s="108">
        <f t="shared" si="0"/>
        <v>54.489511781171714</v>
      </c>
      <c r="G11" s="84">
        <f>'ф5'!L24</f>
        <v>1</v>
      </c>
      <c r="H11" s="84">
        <f>17/19</f>
        <v>0.8947368421052632</v>
      </c>
      <c r="I11" s="84">
        <f>'ф2'!F25/'ф2'!E25</f>
        <v>0.016420349767465345</v>
      </c>
      <c r="J11" s="108">
        <f t="shared" si="1"/>
        <v>54.489511781171714</v>
      </c>
      <c r="U11" t="s">
        <v>306</v>
      </c>
    </row>
    <row r="12" spans="1:10" ht="52.5" customHeight="1">
      <c r="A12" s="107" t="s">
        <v>18</v>
      </c>
      <c r="B12" s="104">
        <v>3</v>
      </c>
      <c r="C12" s="104" t="s">
        <v>42</v>
      </c>
      <c r="D12" s="53" t="s">
        <v>316</v>
      </c>
      <c r="E12" s="53" t="s">
        <v>304</v>
      </c>
      <c r="F12" s="108">
        <f t="shared" si="0"/>
        <v>9.36537340490978</v>
      </c>
      <c r="G12" s="84">
        <f>'ф5'!L37</f>
        <v>1.2507278140994302</v>
      </c>
      <c r="H12" s="84">
        <f>6/8</f>
        <v>0.75</v>
      </c>
      <c r="I12" s="84">
        <f>'ф2'!F33/'ф2'!E33</f>
        <v>0.1001610742058404</v>
      </c>
      <c r="J12" s="108">
        <f t="shared" si="1"/>
        <v>7.487938861944309</v>
      </c>
    </row>
    <row r="13" spans="1:10" ht="48" customHeight="1">
      <c r="A13" s="107" t="s">
        <v>18</v>
      </c>
      <c r="B13" s="104">
        <v>4</v>
      </c>
      <c r="C13" s="104" t="s">
        <v>45</v>
      </c>
      <c r="D13" s="53" t="s">
        <v>316</v>
      </c>
      <c r="E13" s="53" t="s">
        <v>304</v>
      </c>
      <c r="F13" s="108">
        <f t="shared" si="0"/>
        <v>3.1091716730497643</v>
      </c>
      <c r="G13" s="84">
        <f>'ф5'!L42</f>
        <v>0.9784234622183945</v>
      </c>
      <c r="H13" s="84">
        <v>1</v>
      </c>
      <c r="I13" s="84">
        <f>'ф2'!F41/'ф2'!E41</f>
        <v>0.31468943021041546</v>
      </c>
      <c r="J13" s="108">
        <f t="shared" si="1"/>
        <v>3.177736218631033</v>
      </c>
    </row>
    <row r="14" spans="1:10" ht="36">
      <c r="A14" s="107" t="s">
        <v>18</v>
      </c>
      <c r="B14" s="104">
        <v>5</v>
      </c>
      <c r="C14" s="104" t="s">
        <v>93</v>
      </c>
      <c r="D14" s="53" t="s">
        <v>316</v>
      </c>
      <c r="E14" s="53" t="s">
        <v>304</v>
      </c>
      <c r="F14" s="108">
        <f>G14*J14</f>
        <v>16.71326344262314</v>
      </c>
      <c r="G14" s="84">
        <f>'ф5'!L47</f>
        <v>0.8</v>
      </c>
      <c r="H14" s="84">
        <f>14/16</f>
        <v>0.875</v>
      </c>
      <c r="I14" s="84">
        <f>'ф2'!F49/'ф2'!E49</f>
        <v>0.04188290350374178</v>
      </c>
      <c r="J14" s="108">
        <f t="shared" si="1"/>
        <v>20.891579303278924</v>
      </c>
    </row>
    <row r="15" spans="1:10" ht="53.25" customHeight="1">
      <c r="A15" s="107" t="s">
        <v>18</v>
      </c>
      <c r="B15" s="104">
        <v>6</v>
      </c>
      <c r="C15" s="104" t="s">
        <v>57</v>
      </c>
      <c r="D15" s="53" t="s">
        <v>316</v>
      </c>
      <c r="E15" s="53" t="s">
        <v>304</v>
      </c>
      <c r="F15" s="113">
        <f t="shared" si="0"/>
        <v>1.7285270221117393</v>
      </c>
      <c r="G15" s="84">
        <v>1</v>
      </c>
      <c r="H15" s="84">
        <v>1</v>
      </c>
      <c r="I15" s="84">
        <f>'ф2'!F57/'ф2'!E57</f>
        <v>0.5785272588786615</v>
      </c>
      <c r="J15" s="113">
        <f t="shared" si="1"/>
        <v>1.7285270221117393</v>
      </c>
    </row>
    <row r="16" spans="1:10" s="14" customFormat="1" ht="24" customHeight="1">
      <c r="A16" s="464"/>
      <c r="B16" s="464"/>
      <c r="C16" s="464"/>
      <c r="D16" s="464"/>
      <c r="E16" s="464"/>
      <c r="F16" s="464"/>
      <c r="G16" s="464"/>
      <c r="H16" s="464"/>
      <c r="I16" s="464"/>
      <c r="J16" s="464"/>
    </row>
    <row r="17" s="14" customFormat="1" ht="15"/>
    <row r="18" spans="1:10" s="14" customFormat="1" ht="41.25" customHeight="1">
      <c r="A18" s="465"/>
      <c r="B18" s="465"/>
      <c r="C18" s="465"/>
      <c r="D18" s="465"/>
      <c r="E18" s="465"/>
      <c r="F18" s="465"/>
      <c r="G18" s="465"/>
      <c r="H18" s="465"/>
      <c r="I18" s="465"/>
      <c r="J18" s="465"/>
    </row>
  </sheetData>
  <sheetProtection/>
  <mergeCells count="9">
    <mergeCell ref="A16:J16"/>
    <mergeCell ref="A18:J18"/>
    <mergeCell ref="A2:J2"/>
    <mergeCell ref="A3:Q3"/>
    <mergeCell ref="A4:Q4"/>
    <mergeCell ref="A6:B6"/>
    <mergeCell ref="C6:C7"/>
    <mergeCell ref="D6:D7"/>
    <mergeCell ref="E6:E7"/>
  </mergeCells>
  <printOptions/>
  <pageMargins left="0.31496062992125984" right="0.3149606299212598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2017-02-21T05:33:05Z</cp:lastPrinted>
  <dcterms:created xsi:type="dcterms:W3CDTF">2006-09-16T00:00:00Z</dcterms:created>
  <dcterms:modified xsi:type="dcterms:W3CDTF">2020-08-04T13:12:09Z</dcterms:modified>
  <cp:category/>
  <cp:version/>
  <cp:contentType/>
  <cp:contentStatus/>
</cp:coreProperties>
</file>